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omments7.xml" ContentType="application/vnd.openxmlformats-officedocument.spreadsheetml.comments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30" windowWidth="28635" windowHeight="13320"/>
  </bookViews>
  <sheets>
    <sheet name="Cover" sheetId="4" r:id="rId1"/>
    <sheet name="Contents" sheetId="5" r:id="rId2"/>
    <sheet name="Overview_SC" sheetId="6" r:id="rId3"/>
    <sheet name="Notes_SSC" sheetId="7" r:id="rId4"/>
    <sheet name="Linked_Workbooks_Diagram_MS" sheetId="8" r:id="rId5"/>
    <sheet name="Assumptions_SC" sheetId="9" r:id="rId6"/>
    <sheet name="TS_Ass_SSC" sheetId="10" r:id="rId7"/>
    <sheet name="TS_BA" sheetId="11" r:id="rId8"/>
    <sheet name="Fcast_Ass_SSC" sheetId="12" r:id="rId9"/>
    <sheet name="Fcast_TA" sheetId="13" r:id="rId10"/>
    <sheet name="Base_OP_SC" sheetId="14" r:id="rId11"/>
    <sheet name="Fcast_OP_SSC" sheetId="15" r:id="rId12"/>
    <sheet name="Fcast_TO" sheetId="16" r:id="rId13"/>
    <sheet name="FS_OP_SSC" sheetId="17" r:id="rId14"/>
    <sheet name="IS_TO" sheetId="18" r:id="rId15"/>
    <sheet name="BS_TO" sheetId="19" r:id="rId16"/>
    <sheet name="CFS_TO" sheetId="20" r:id="rId17"/>
    <sheet name="Dashboards_SSC" sheetId="21" r:id="rId18"/>
    <sheet name="BS_Sum_P_MS" sheetId="22" r:id="rId19"/>
    <sheet name="Appendices_SC" sheetId="23" r:id="rId20"/>
    <sheet name="Model_Imports_SSC" sheetId="24" r:id="rId21"/>
    <sheet name="Model_Exports_MI_TO" sheetId="25" r:id="rId22"/>
    <sheet name="Checks_SSC" sheetId="26" r:id="rId23"/>
    <sheet name="Checks_BO" sheetId="27" r:id="rId24"/>
    <sheet name="LU_SSC" sheetId="28" r:id="rId25"/>
    <sheet name="TS_LU" sheetId="29" r:id="rId26"/>
    <sheet name="Capital_LU" sheetId="30" r:id="rId27"/>
    <sheet name="Dashboards_LU" sheetId="31" r:id="rId28"/>
  </sheets>
  <externalReferences>
    <externalReference r:id="rId29"/>
  </externalReferences>
  <definedNames>
    <definedName name="Alt_Chk_11_Hdg" hidden="1">Fcast_TA!$C$37</definedName>
    <definedName name="Alt_Chk_12_Hdg" hidden="1">Fcast_TA!$B$64</definedName>
    <definedName name="Alt_Chk_14_Hdg" hidden="1">BS_TO!$B$1</definedName>
    <definedName name="Alt_Chk_15_Hdg" hidden="1">Fcast_TO!$C$123</definedName>
    <definedName name="Alt_Chk_4_Hdg" hidden="1">Fcast_TO!$B$16</definedName>
    <definedName name="Alt_Chks_Msg">Checks_BO!$I$55</definedName>
    <definedName name="Alt_Chks_Ttl_Areas">Checks_BO!$M$64</definedName>
    <definedName name="Annual">TS_LU!$D$77</definedName>
    <definedName name="BA_Alt_Chks" hidden="1">Checks_BO!$46:$64</definedName>
    <definedName name="BA_Err_Chks" hidden="1">Checks_BO!$5:$29</definedName>
    <definedName name="BA_LU" hidden="1">TS_LU!$5:$105</definedName>
    <definedName name="BA_Sens_Chks" hidden="1">Checks_BO!$30:$45</definedName>
    <definedName name="BA_TS_Ass" hidden="1">TS_BA!$5:$65</definedName>
    <definedName name="Billion">TS_LU!$D$105</definedName>
    <definedName name="Billions">TS_LU!$D$63</definedName>
    <definedName name="BPM_TC_1" hidden="1">Cover!$C$23</definedName>
    <definedName name="BPM_TC_2" hidden="1">Contents!$D$38</definedName>
    <definedName name="BPM_TC_3" hidden="1">Linked_Workbooks_Diagram_MS!$V$7</definedName>
    <definedName name="BPM_TC_4" hidden="1">Model_Imports_SSC!$C$9</definedName>
    <definedName name="BPM_TC_5" hidden="1">Model_Exports_MI_TO!$B$16</definedName>
    <definedName name="BPM_TC_6" hidden="1">Model_Exports_MI_TO!$J$18</definedName>
    <definedName name="BPM_TC_7" hidden="1">Model_Exports_MI_TO!$J$29</definedName>
    <definedName name="CA_Alt_Chks">Checks_BO!$K$61:$K$62</definedName>
    <definedName name="CA_Alt_Chks_Area_Names">Checks_BO!$D$61:$D$62</definedName>
    <definedName name="CA_Alt_Chks_Flags">Checks_BO!$M$61:$M$62</definedName>
    <definedName name="CA_Alt_Chks_Inc">Checks_BO!$L$61:$L$62</definedName>
    <definedName name="CA_Err_Chks">Checks_BO!$K$20:$K$27</definedName>
    <definedName name="CA_Err_Chks_Area_Names">Checks_BO!$D$20:$D$27</definedName>
    <definedName name="CA_Err_Chks_Flags">Checks_BO!$M$20:$M$27</definedName>
    <definedName name="CA_Err_Chks_Inc">Checks_BO!$L$20:$L$27</definedName>
    <definedName name="CA_Sens_Chks">Checks_BO!$K$44:$K$44</definedName>
    <definedName name="CA_Sens_Chks_Area_Names">Checks_BO!$D$44:$D$44</definedName>
    <definedName name="CA_Sens_Chks_Flags">Checks_BO!$M$44:$M$44</definedName>
    <definedName name="CA_Sens_Chks_Inc">Checks_BO!$L$44:$L$44</definedName>
    <definedName name="CB_Alt_Chks_Show_Msg">Checks_BO!$C$50</definedName>
    <definedName name="CB_Eq_Ord_Cash_Limit_Div">Fcast_TA!$E$57</definedName>
    <definedName name="CB_Eq_Ord_Inc_Open_RP_In_NPAT">Fcast_TA!$E$56</definedName>
    <definedName name="CB_Err_Chks_Show_Msg">Checks_BO!$C$9</definedName>
    <definedName name="CB_Sens_Chks_Show_Msg">Checks_BO!$C$34</definedName>
    <definedName name="CB_TS_Show_Hist_Fcast_Pers">TS_BA!$J$31</definedName>
    <definedName name="Currency">TS_LU!$D$66</definedName>
    <definedName name="DD_Eq_Ord_Div_Meth">Fcast_TA!$J$50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Fcast_TO!$C$31</definedName>
    <definedName name="Err_Chk_10_Hdg" hidden="1">Fcast_TO!$B$163</definedName>
    <definedName name="Err_Chk_11_Hdg" hidden="1">IS_TO!$B$1</definedName>
    <definedName name="Err_Chk_13_Hdg" hidden="1">BS_TO!$B$1</definedName>
    <definedName name="Err_Chk_14_Hdg" hidden="1">CFS_TO!$B$1</definedName>
    <definedName name="Err_Chk_15_Hdg" hidden="1">Fcast_TO!$C$123</definedName>
    <definedName name="Err_Chk_2_Hdg" hidden="1">Fcast_TO!$C$45</definedName>
    <definedName name="Err_Chk_3_Hdg" hidden="1">Fcast_TO!$C$66</definedName>
    <definedName name="Err_Chk_4_Hdg" hidden="1">Fcast_TO!$C$78</definedName>
    <definedName name="Err_Chks_Msg">Checks_BO!$I$14</definedName>
    <definedName name="Err_Chks_Ttl_Areas">Checks_BO!$M$29</definedName>
    <definedName name="Half_Yr_Name">TS_LU!$D$86</definedName>
    <definedName name="Halves_In_Yr">TS_LU!$D$94</definedName>
    <definedName name="HL_Alt_Chk">Checks_BO!$B$48</definedName>
    <definedName name="HL_Alt_Chk_14" hidden="1">BS_TO!$I$73</definedName>
    <definedName name="HL_Alt_Chk_15" hidden="1">Fcast_TO!$I$161</definedName>
    <definedName name="HL_Err_Chk">Checks_BO!$B$7</definedName>
    <definedName name="HL_Err_Chk_1" hidden="1">Fcast_TO!$I$43</definedName>
    <definedName name="HL_Err_Chk_11" hidden="1">IS_TO!$I$41</definedName>
    <definedName name="HL_Err_Chk_13" hidden="1">BS_TO!$I$71</definedName>
    <definedName name="HL_Err_Chk_14" hidden="1">CFS_TO!$I$111</definedName>
    <definedName name="HL_Err_Chk_15" hidden="1">Fcast_TO!$I$142</definedName>
    <definedName name="HL_Err_Chk_2" hidden="1">Fcast_TO!$I$57</definedName>
    <definedName name="HL_Err_Chk_3" hidden="1">Fcast_TO!$I$76</definedName>
    <definedName name="HL_Err_Chk_4" hidden="1">Fcast_TO!$I$88</definedName>
    <definedName name="HL_Home">Contents!$B$1</definedName>
    <definedName name="HL_Sens_Chk">Checks_BO!$B$32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18" hidden="1">FS_OP_SSC!$A$1</definedName>
    <definedName name="HL_Sheet_Main_19" hidden="1">BS_Sum_P_MS!$A$1</definedName>
    <definedName name="HL_Sheet_Main_2" hidden="1">Overview_SC!$A$1</definedName>
    <definedName name="HL_Sheet_Main_20" hidden="1">Dashboards_SSC!$A$1</definedName>
    <definedName name="HL_Sheet_Main_21" hidden="1">Linked_Workbooks_Diagram_MS!$A$1</definedName>
    <definedName name="HL_Sheet_Main_24" hidden="1">Contents!$A$1</definedName>
    <definedName name="HL_Sheet_Main_25" hidden="1">Cover!$A$1</definedName>
    <definedName name="HL_Sheet_Main_27" hidden="1">Dashboards_LU!$A$1</definedName>
    <definedName name="HL_Sheet_Main_3" hidden="1">Notes_SSC!$A$1</definedName>
    <definedName name="HL_Sheet_Main_35" hidden="1">IS_TO!$A$1</definedName>
    <definedName name="HL_Sheet_Main_36" hidden="1">BS_TO!$A$1</definedName>
    <definedName name="HL_Sheet_Main_37" hidden="1">CFS_TO!$A$1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42" hidden="1">Capital_LU!$A$1</definedName>
    <definedName name="HL_Sheet_Main_5" hidden="1">Fcast_Ass_SSC!$A$1</definedName>
    <definedName name="HL_Sheet_Main_8" hidden="1">Model_Imports_SSC!$A$1</definedName>
    <definedName name="HL_Sheet_Main_9" hidden="1">TS_LU!$A$1</definedName>
    <definedName name="HL_TOC_11" hidden="1">Fcast_TA!$B$16</definedName>
    <definedName name="HL_TOC_12" hidden="1">Fcast_TA!$B$64</definedName>
    <definedName name="HL_TOC_13" hidden="1">Fcast_TA!$B$81</definedName>
    <definedName name="HL_TOC_14" hidden="1">CFS_TO!$B$89</definedName>
    <definedName name="HL_TOC_15" hidden="1">Fcast_TO!$B$95</definedName>
    <definedName name="HL_TOC_16" hidden="1">Fcast_TO!$B$189</definedName>
    <definedName name="HL_TOC_17" hidden="1">Fcast_TO!$B$64</definedName>
    <definedName name="HL_TOC_21" hidden="1">Fcast_TO!$B$16</definedName>
    <definedName name="HL_TOC_24" hidden="1">Fcast_TO!$B$29</definedName>
    <definedName name="HL_TOC_32" hidden="1">Fcast_TO!$B$163</definedName>
    <definedName name="HL_TOC_35" hidden="1">CFS_TO!$B$16</definedName>
    <definedName name="HL_TOC_36" hidden="1">CFS_TO!$B$53</definedName>
    <definedName name="HL_TOC_4" hidden="1">TS_LU!$B$7</definedName>
    <definedName name="HL_TOC_6" hidden="1">Checks_BO!$B$7</definedName>
    <definedName name="HL_TOC_7" hidden="1">Checks_BO!$B$32</definedName>
    <definedName name="HL_TOC_8" hidden="1">Checks_BO!$B$48</definedName>
    <definedName name="Hundred">TS_LU!$D$102</definedName>
    <definedName name="LI_Tax_Base_Nom_Opex_Base_Nom_Cat_1">Fcast_TO!$I$169</definedName>
    <definedName name="LO_BS_Base_Nom_OP_Cash_Open">BS_TO!$I$20</definedName>
    <definedName name="LU_Dashboard_Selected_Period">Dashboards_LU!$D$12:$D$19</definedName>
    <definedName name="LU_Data_Term_Basis">TS_LU!$D$71:$D$72</definedName>
    <definedName name="LU_Denom">TS_LU!$D$63:$D$66</definedName>
    <definedName name="LU_Eq_Ord_Div_Meth">Capital_LU!$D$12:$D$13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9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8">BS_Sum_P_MS!$B$1:$AN$64</definedName>
    <definedName name="_xlnm.Print_Area" localSheetId="15">BS_TO!$B$1:$Q$76</definedName>
    <definedName name="_xlnm.Print_Area" localSheetId="26">Capital_LU!$B$1:$G$13</definedName>
    <definedName name="_xlnm.Print_Area" localSheetId="16">CFS_TO!$B$1:$Q$117</definedName>
    <definedName name="_xlnm.Print_Area" localSheetId="23">Checks_BO!$B$1:$M$64</definedName>
    <definedName name="_xlnm.Print_Area" localSheetId="22">Checks_SSC!$B$1:$N$30</definedName>
    <definedName name="_xlnm.Print_Area" localSheetId="1">Contents!$B$1:$Q$50</definedName>
    <definedName name="_xlnm.Print_Area" localSheetId="0">Cover!$B$1:$N$24</definedName>
    <definedName name="_xlnm.Print_Area" localSheetId="27">Dashboards_LU!$B$1:$G$19</definedName>
    <definedName name="_xlnm.Print_Area" localSheetId="17">Dashboards_SSC!$B$1:$N$30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Fcast_TA!$B$1:$Q$99</definedName>
    <definedName name="_xlnm.Print_Area" localSheetId="12">Fcast_TO!$B$1:$Q$213</definedName>
    <definedName name="_xlnm.Print_Area" localSheetId="13">FS_OP_SSC!$B$1:$N$30</definedName>
    <definedName name="_xlnm.Print_Area" localSheetId="14">IS_TO!$B$1:$Q$46</definedName>
    <definedName name="_xlnm.Print_Area" localSheetId="4">Linked_Workbooks_Diagram_MS!$B$1:$BI$40</definedName>
    <definedName name="_xlnm.Print_Area" localSheetId="24">LU_SSC!$B$1:$N$30</definedName>
    <definedName name="_xlnm.Print_Area" localSheetId="21">Model_Exports_MI_TO!$B$1:$Q$60</definedName>
    <definedName name="_xlnm.Print_Area" localSheetId="20">Model_Imports_SSC!$B$1:$N$30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25">TS_LU!$B$1:$G$105</definedName>
    <definedName name="_xlnm.Print_Titles" localSheetId="15">BS_TO!$1:$15</definedName>
    <definedName name="_xlnm.Print_Titles" localSheetId="16">CFS_TO!$1:$15</definedName>
    <definedName name="_xlnm.Print_Titles" localSheetId="23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4">IS_TO!$1:$15</definedName>
    <definedName name="_xlnm.Print_Titles" localSheetId="7">TS_BA!$1:$6</definedName>
    <definedName name="_xlnm.Print_Titles" localSheetId="25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Checks_BO!$I$39</definedName>
    <definedName name="Sens_Chks_Ttl_Areas">Checks_BO!$M$45</definedName>
    <definedName name="TBXBST" localSheetId="19" hidden="1">"|B|SC|B|"</definedName>
    <definedName name="TBXBST" localSheetId="5" hidden="1">"|B|SC|B|"</definedName>
    <definedName name="TBXBST" localSheetId="10" hidden="1">"|B|SC|B|"</definedName>
    <definedName name="TBXBST" localSheetId="18" hidden="1">"|B|MS|B||P|"</definedName>
    <definedName name="TBXBST" localSheetId="15" hidden="1">"|B|TO|B||T|All|T||N|1|N||FTSCN|10|FTSCN||TSP|10|TSP|"</definedName>
    <definedName name="TBXBST" localSheetId="26" hidden="1">"|B|LU|B|"</definedName>
    <definedName name="TBXBST" localSheetId="16" hidden="1">"|B|TO|B||T|All|T||N|1|N||FTSCN|10|FTSCN||TSP|10|TSP|"</definedName>
    <definedName name="TBXBST" localSheetId="23" hidden="1">"|B|BO|B|"</definedName>
    <definedName name="TBXBST" localSheetId="22" hidden="1">"|B|SSC|B|"</definedName>
    <definedName name="TBXBST" localSheetId="1" hidden="1">"|B|Contents|B|"</definedName>
    <definedName name="TBXBST" localSheetId="0" hidden="1">"|B|Cover|B|"</definedName>
    <definedName name="TBXBST" localSheetId="27" hidden="1">"|B|LU|B|"</definedName>
    <definedName name="TBXBST" localSheetId="17" hidden="1">"|B|SSC|B|"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13" hidden="1">"|B|SSC|B|"</definedName>
    <definedName name="TBXBST" localSheetId="14" hidden="1">"|B|TO|B||T|All|T||N|1|N||FTSCN|10|FTSCN||TSP|10|TSP|"</definedName>
    <definedName name="TBXBST" localSheetId="4" hidden="1">"|B|MS|B||P|"</definedName>
    <definedName name="TBXBST" localSheetId="24" hidden="1">"|B|SSC|B|"</definedName>
    <definedName name="TBXBST" localSheetId="21" hidden="1">"|B|TO|B||T|All|T||N|1|N||FTSCN|10|FTSCN||TSP|10|TSP|"</definedName>
    <definedName name="TBXBST" localSheetId="20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25" hidden="1">"|B|LU|B|"</definedName>
    <definedName name="Ten">TS_LU!$D$101</definedName>
    <definedName name="Thousand">TS_LU!$D$103</definedName>
    <definedName name="Thousands">TS_LU!$D$65</definedName>
    <definedName name="TOC_Hdg_11" hidden="1">Fcast_TA!$B$16</definedName>
    <definedName name="TOC_Hdg_12" hidden="1">Fcast_TA!$B$64</definedName>
    <definedName name="TOC_Hdg_13" hidden="1">Fcast_TA!$B$81</definedName>
    <definedName name="TOC_Hdg_14" hidden="1">CFS_TO!$B$89</definedName>
    <definedName name="TOC_Hdg_15" hidden="1">Fcast_TO!$B$95</definedName>
    <definedName name="TOC_Hdg_16" hidden="1">Fcast_TO!$B$189</definedName>
    <definedName name="TOC_Hdg_17" hidden="1">Fcast_TO!$B$64</definedName>
    <definedName name="TOC_Hdg_21" hidden="1">Fcast_TO!$B$16</definedName>
    <definedName name="TOC_Hdg_24" hidden="1">Fcast_TO!$B$29</definedName>
    <definedName name="TOC_Hdg_32" hidden="1">Fcast_TO!$B$163</definedName>
    <definedName name="TOC_Hdg_35" hidden="1">CFS_TO!$B$16</definedName>
    <definedName name="TOC_Hdg_36" hidden="1">CFS_TO!$B$53</definedName>
    <definedName name="TOC_Hdg_4" hidden="1">TS_LU!$B$7</definedName>
    <definedName name="TOC_Hdg_6" hidden="1">Checks_BO!$B$7</definedName>
    <definedName name="TOC_Hdg_7" hidden="1">Checks_BO!$B$32</definedName>
    <definedName name="TOC_Hdg_8" hidden="1">Checks_BO!$B$48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48" i="5"/>
  <c r="H47"/>
  <c r="H46"/>
  <c r="F45"/>
  <c r="I44"/>
  <c r="I43"/>
  <c r="I42"/>
  <c r="H41"/>
  <c r="F40"/>
  <c r="H39"/>
  <c r="F38"/>
  <c r="D37"/>
  <c r="H36"/>
  <c r="F35"/>
  <c r="I34"/>
  <c r="I33"/>
  <c r="I32"/>
  <c r="H31"/>
  <c r="H30"/>
  <c r="H29"/>
  <c r="F28"/>
  <c r="I27"/>
  <c r="I26"/>
  <c r="I25"/>
  <c r="H21"/>
  <c r="F20"/>
  <c r="D19"/>
  <c r="I18"/>
  <c r="I17"/>
  <c r="I16"/>
  <c r="H15"/>
  <c r="F14"/>
  <c r="H13"/>
  <c r="F12"/>
  <c r="D11"/>
  <c r="H10"/>
  <c r="F9"/>
  <c r="D8"/>
  <c r="B7" i="30"/>
  <c r="D13" i="29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62" i="27"/>
  <c r="D61"/>
  <c r="D54"/>
  <c r="M45"/>
  <c r="I39" s="1"/>
  <c r="D38"/>
  <c r="D27"/>
  <c r="D26"/>
  <c r="D25"/>
  <c r="D24"/>
  <c r="D13"/>
  <c r="Q60" i="25"/>
  <c r="P60"/>
  <c r="O60"/>
  <c r="N60"/>
  <c r="M60"/>
  <c r="L60"/>
  <c r="K60"/>
  <c r="J60"/>
  <c r="D60"/>
  <c r="Q59"/>
  <c r="P59"/>
  <c r="O59"/>
  <c r="N59"/>
  <c r="M59"/>
  <c r="L59"/>
  <c r="K59"/>
  <c r="J59"/>
  <c r="D59"/>
  <c r="Q58"/>
  <c r="P58"/>
  <c r="O58"/>
  <c r="N58"/>
  <c r="M58"/>
  <c r="L58"/>
  <c r="K58"/>
  <c r="J58"/>
  <c r="D58"/>
  <c r="Q57"/>
  <c r="P57"/>
  <c r="O57"/>
  <c r="N57"/>
  <c r="M57"/>
  <c r="L57"/>
  <c r="K57"/>
  <c r="J57"/>
  <c r="D57"/>
  <c r="Q56"/>
  <c r="P56"/>
  <c r="O56"/>
  <c r="N56"/>
  <c r="M56"/>
  <c r="L56"/>
  <c r="K56"/>
  <c r="J56"/>
  <c r="D56"/>
  <c r="C54"/>
  <c r="Q52"/>
  <c r="P52"/>
  <c r="O52"/>
  <c r="N52"/>
  <c r="M52"/>
  <c r="L52"/>
  <c r="K52"/>
  <c r="J52"/>
  <c r="D52"/>
  <c r="Q51"/>
  <c r="P51"/>
  <c r="O51"/>
  <c r="N51"/>
  <c r="M51"/>
  <c r="L51"/>
  <c r="K51"/>
  <c r="J51"/>
  <c r="D51"/>
  <c r="Q50"/>
  <c r="P50"/>
  <c r="O50"/>
  <c r="N50"/>
  <c r="M50"/>
  <c r="L50"/>
  <c r="K50"/>
  <c r="J50"/>
  <c r="D50"/>
  <c r="Q49"/>
  <c r="P49"/>
  <c r="O49"/>
  <c r="N49"/>
  <c r="M49"/>
  <c r="L49"/>
  <c r="K49"/>
  <c r="J49"/>
  <c r="D49"/>
  <c r="Q48"/>
  <c r="P48"/>
  <c r="O48"/>
  <c r="N48"/>
  <c r="M48"/>
  <c r="L48"/>
  <c r="K48"/>
  <c r="J48"/>
  <c r="D48"/>
  <c r="C46"/>
  <c r="B44"/>
  <c r="Q41"/>
  <c r="Q51" i="16" s="1"/>
  <c r="Q39" i="19" s="1"/>
  <c r="P41" i="25"/>
  <c r="O41"/>
  <c r="O51" i="16" s="1"/>
  <c r="O39" i="19" s="1"/>
  <c r="N41" i="25"/>
  <c r="M41"/>
  <c r="M51" i="16" s="1"/>
  <c r="M39" i="19" s="1"/>
  <c r="L41" i="25"/>
  <c r="K41"/>
  <c r="K51" i="16" s="1"/>
  <c r="K39" i="19" s="1"/>
  <c r="J41" i="25"/>
  <c r="D41"/>
  <c r="D51" i="16" s="1"/>
  <c r="Q40" i="25"/>
  <c r="P40"/>
  <c r="P50" i="16" s="1"/>
  <c r="P25" i="20" s="1"/>
  <c r="P62" s="1"/>
  <c r="O40" i="25"/>
  <c r="N40"/>
  <c r="N50" i="16" s="1"/>
  <c r="N25" i="20" s="1"/>
  <c r="N62" s="1"/>
  <c r="M40" i="25"/>
  <c r="L40"/>
  <c r="L50" i="16" s="1"/>
  <c r="L25" i="20" s="1"/>
  <c r="L62" s="1"/>
  <c r="K40" i="25"/>
  <c r="J40"/>
  <c r="J50" i="16" s="1"/>
  <c r="J25" i="20" s="1"/>
  <c r="J62" s="1"/>
  <c r="D40" i="25"/>
  <c r="Q39"/>
  <c r="Q49" i="16" s="1"/>
  <c r="Q55" s="1"/>
  <c r="P39" i="25"/>
  <c r="O39"/>
  <c r="O49" i="16" s="1"/>
  <c r="O55" s="1"/>
  <c r="N39" i="25"/>
  <c r="M39"/>
  <c r="M49" i="16" s="1"/>
  <c r="M55" s="1"/>
  <c r="L39" i="25"/>
  <c r="K39"/>
  <c r="K49" i="16" s="1"/>
  <c r="K55" s="1"/>
  <c r="J39" i="25"/>
  <c r="D39"/>
  <c r="D49" i="16" s="1"/>
  <c r="Q38" i="25"/>
  <c r="P38"/>
  <c r="P48" i="16" s="1"/>
  <c r="O38" i="25"/>
  <c r="N38"/>
  <c r="N48" i="16" s="1"/>
  <c r="M38" i="25"/>
  <c r="L38"/>
  <c r="L48" i="16" s="1"/>
  <c r="K38" i="25"/>
  <c r="J38"/>
  <c r="J48" i="16" s="1"/>
  <c r="D38" i="25"/>
  <c r="Q37"/>
  <c r="Q47" i="16" s="1"/>
  <c r="P37" i="25"/>
  <c r="O37"/>
  <c r="O47" i="16" s="1"/>
  <c r="N37" i="25"/>
  <c r="M37"/>
  <c r="M47" i="16" s="1"/>
  <c r="L37" i="25"/>
  <c r="K37"/>
  <c r="K47" i="16" s="1"/>
  <c r="J37" i="25"/>
  <c r="D37"/>
  <c r="D47" i="16" s="1"/>
  <c r="C35" i="25"/>
  <c r="Q33"/>
  <c r="Q37" i="16" s="1"/>
  <c r="Q23" i="19" s="1"/>
  <c r="P33" i="25"/>
  <c r="O33"/>
  <c r="O37" i="16" s="1"/>
  <c r="O23" i="19" s="1"/>
  <c r="N33" i="25"/>
  <c r="M33"/>
  <c r="M37" i="16" s="1"/>
  <c r="M23" i="19" s="1"/>
  <c r="L33" i="25"/>
  <c r="K33"/>
  <c r="K37" i="16" s="1"/>
  <c r="K23" i="19" s="1"/>
  <c r="J33" i="25"/>
  <c r="D33"/>
  <c r="D37" i="16" s="1"/>
  <c r="Q32" i="25"/>
  <c r="P32"/>
  <c r="P36" i="16" s="1"/>
  <c r="P21" i="20" s="1"/>
  <c r="P61" s="1"/>
  <c r="O32" i="25"/>
  <c r="N32"/>
  <c r="N36" i="16" s="1"/>
  <c r="N21" i="20" s="1"/>
  <c r="N61" s="1"/>
  <c r="M32" i="25"/>
  <c r="L32"/>
  <c r="L36" i="16" s="1"/>
  <c r="L21" i="20" s="1"/>
  <c r="L61" s="1"/>
  <c r="K32" i="25"/>
  <c r="J32"/>
  <c r="J36" i="16" s="1"/>
  <c r="J21" i="20" s="1"/>
  <c r="J61" s="1"/>
  <c r="D32" i="25"/>
  <c r="Q31"/>
  <c r="Q35" i="16" s="1"/>
  <c r="Q41" s="1"/>
  <c r="P31" i="25"/>
  <c r="O31"/>
  <c r="O35" i="16" s="1"/>
  <c r="O41" s="1"/>
  <c r="N31" i="25"/>
  <c r="M31"/>
  <c r="M35" i="16" s="1"/>
  <c r="M41" s="1"/>
  <c r="L31" i="25"/>
  <c r="K31"/>
  <c r="K35" i="16" s="1"/>
  <c r="K41" s="1"/>
  <c r="J31" i="25"/>
  <c r="D31"/>
  <c r="D35" i="16" s="1"/>
  <c r="Q30" i="25"/>
  <c r="P30"/>
  <c r="P34" i="16" s="1"/>
  <c r="O30" i="25"/>
  <c r="N30"/>
  <c r="N34" i="16" s="1"/>
  <c r="M30" i="25"/>
  <c r="L30"/>
  <c r="L34" i="16" s="1"/>
  <c r="K30" i="25"/>
  <c r="J30"/>
  <c r="J34" i="16" s="1"/>
  <c r="D30" i="25"/>
  <c r="Q29"/>
  <c r="Q33" i="16" s="1"/>
  <c r="P29" i="25"/>
  <c r="O29"/>
  <c r="O33" i="16" s="1"/>
  <c r="N29" i="25"/>
  <c r="M29"/>
  <c r="M33" i="16" s="1"/>
  <c r="L29" i="25"/>
  <c r="K29"/>
  <c r="K33" i="16" s="1"/>
  <c r="J29" i="25"/>
  <c r="D29"/>
  <c r="D33" i="16" s="1"/>
  <c r="C27" i="25"/>
  <c r="B25"/>
  <c r="B29" i="16" s="1"/>
  <c r="I23" i="5" s="1"/>
  <c r="Q22" i="25"/>
  <c r="P22"/>
  <c r="O22"/>
  <c r="N22"/>
  <c r="M22"/>
  <c r="L22"/>
  <c r="K22"/>
  <c r="J22"/>
  <c r="C22"/>
  <c r="Q21"/>
  <c r="P21"/>
  <c r="O21"/>
  <c r="N21"/>
  <c r="M21"/>
  <c r="L21"/>
  <c r="K21"/>
  <c r="J21"/>
  <c r="C21"/>
  <c r="Q20"/>
  <c r="P20"/>
  <c r="O20"/>
  <c r="N20"/>
  <c r="M20"/>
  <c r="L20"/>
  <c r="K20"/>
  <c r="J20"/>
  <c r="C20"/>
  <c r="Q19"/>
  <c r="P19"/>
  <c r="O19"/>
  <c r="N19"/>
  <c r="M19"/>
  <c r="L19"/>
  <c r="K19"/>
  <c r="J19"/>
  <c r="C19"/>
  <c r="Q18"/>
  <c r="P18"/>
  <c r="O18"/>
  <c r="N18"/>
  <c r="M18"/>
  <c r="L18"/>
  <c r="K18"/>
  <c r="J18"/>
  <c r="C18"/>
  <c r="B16"/>
  <c r="Q13"/>
  <c r="P13"/>
  <c r="O13"/>
  <c r="N13"/>
  <c r="M13"/>
  <c r="L13"/>
  <c r="K13"/>
  <c r="J13"/>
  <c r="B13"/>
  <c r="Q12"/>
  <c r="P12"/>
  <c r="O12"/>
  <c r="N12"/>
  <c r="M12"/>
  <c r="L12"/>
  <c r="K12"/>
  <c r="J12"/>
  <c r="B12"/>
  <c r="Q11"/>
  <c r="P11"/>
  <c r="O11"/>
  <c r="N11"/>
  <c r="M11"/>
  <c r="L11"/>
  <c r="K11"/>
  <c r="J11"/>
  <c r="B11"/>
  <c r="Q10"/>
  <c r="P10"/>
  <c r="O10"/>
  <c r="N10"/>
  <c r="M10"/>
  <c r="L10"/>
  <c r="K10"/>
  <c r="J10"/>
  <c r="B10"/>
  <c r="Q9"/>
  <c r="P9"/>
  <c r="O9"/>
  <c r="N9"/>
  <c r="M9"/>
  <c r="L9"/>
  <c r="K9"/>
  <c r="J9"/>
  <c r="B9"/>
  <c r="Q8"/>
  <c r="P8"/>
  <c r="O8"/>
  <c r="N8"/>
  <c r="M8"/>
  <c r="L8"/>
  <c r="K8"/>
  <c r="J8"/>
  <c r="B8"/>
  <c r="Q7"/>
  <c r="P7"/>
  <c r="O7"/>
  <c r="N7"/>
  <c r="M7"/>
  <c r="L7"/>
  <c r="K7"/>
  <c r="J7"/>
  <c r="B7"/>
  <c r="Q6"/>
  <c r="P6"/>
  <c r="O6"/>
  <c r="N6"/>
  <c r="M6"/>
  <c r="L6"/>
  <c r="K6"/>
  <c r="J6"/>
  <c r="B6"/>
  <c r="AW43" i="22"/>
  <c r="AQ34"/>
  <c r="B21"/>
  <c r="B19"/>
  <c r="B17"/>
  <c r="B16"/>
  <c r="B15"/>
  <c r="B13"/>
  <c r="C117" i="20"/>
  <c r="C116"/>
  <c r="D114"/>
  <c r="D103"/>
  <c r="C86"/>
  <c r="C77"/>
  <c r="D74"/>
  <c r="D73"/>
  <c r="C69"/>
  <c r="D66"/>
  <c r="D65"/>
  <c r="D62"/>
  <c r="D61"/>
  <c r="C55"/>
  <c r="D48"/>
  <c r="D84" s="1"/>
  <c r="D47"/>
  <c r="D102" s="1"/>
  <c r="D39"/>
  <c r="D92" s="1"/>
  <c r="D31"/>
  <c r="D67" s="1"/>
  <c r="D28"/>
  <c r="D64" s="1"/>
  <c r="D27"/>
  <c r="D95" s="1"/>
  <c r="Q12"/>
  <c r="P12"/>
  <c r="O12"/>
  <c r="N12"/>
  <c r="M12"/>
  <c r="L12"/>
  <c r="K12"/>
  <c r="J12"/>
  <c r="J8" s="1"/>
  <c r="C76" i="19"/>
  <c r="C75"/>
  <c r="C67"/>
  <c r="D51"/>
  <c r="D50"/>
  <c r="D44"/>
  <c r="D43"/>
  <c r="D33"/>
  <c r="D32"/>
  <c r="D25"/>
  <c r="D24"/>
  <c r="B16"/>
  <c r="Q12"/>
  <c r="Q62" s="1"/>
  <c r="P12"/>
  <c r="P62" s="1"/>
  <c r="O12"/>
  <c r="O62" s="1"/>
  <c r="N12"/>
  <c r="N62" s="1"/>
  <c r="M12"/>
  <c r="M62" s="1"/>
  <c r="L12"/>
  <c r="L62" s="1"/>
  <c r="K12"/>
  <c r="K62" s="1"/>
  <c r="J12"/>
  <c r="J8" s="1"/>
  <c r="C46" i="18"/>
  <c r="D37"/>
  <c r="B20" i="22" s="1"/>
  <c r="D33" i="18"/>
  <c r="B18" i="22" s="1"/>
  <c r="B16" i="18"/>
  <c r="Q12"/>
  <c r="P12"/>
  <c r="O12"/>
  <c r="N12"/>
  <c r="M12"/>
  <c r="L12"/>
  <c r="K12"/>
  <c r="J12"/>
  <c r="J8" s="1"/>
  <c r="Q213" i="16"/>
  <c r="Q50" i="19" s="1"/>
  <c r="P213" i="16"/>
  <c r="P50" i="19" s="1"/>
  <c r="O213" i="16"/>
  <c r="O50" i="19" s="1"/>
  <c r="N213" i="16"/>
  <c r="N50" i="19" s="1"/>
  <c r="M213" i="16"/>
  <c r="M50" i="19" s="1"/>
  <c r="L213" i="16"/>
  <c r="L50" i="19" s="1"/>
  <c r="K213" i="16"/>
  <c r="K50" i="19" s="1"/>
  <c r="J213" i="16"/>
  <c r="J50" i="19" s="1"/>
  <c r="C209" i="16"/>
  <c r="Q207"/>
  <c r="Q32" i="19" s="1"/>
  <c r="P207" i="16"/>
  <c r="P32" i="19" s="1"/>
  <c r="O207" i="16"/>
  <c r="O32" i="19" s="1"/>
  <c r="N207" i="16"/>
  <c r="N32" i="19" s="1"/>
  <c r="M207" i="16"/>
  <c r="M32" i="19" s="1"/>
  <c r="L207" i="16"/>
  <c r="L32" i="19" s="1"/>
  <c r="K207" i="16"/>
  <c r="K32" i="19" s="1"/>
  <c r="J207" i="16"/>
  <c r="J32" i="19" s="1"/>
  <c r="C203" i="16"/>
  <c r="Q201"/>
  <c r="Q43" i="19" s="1"/>
  <c r="P201" i="16"/>
  <c r="P43" i="19" s="1"/>
  <c r="O201" i="16"/>
  <c r="O43" i="19" s="1"/>
  <c r="N201" i="16"/>
  <c r="N43" i="19" s="1"/>
  <c r="M201" i="16"/>
  <c r="M43" i="19" s="1"/>
  <c r="L201" i="16"/>
  <c r="L43" i="19" s="1"/>
  <c r="K201" i="16"/>
  <c r="K43" i="19" s="1"/>
  <c r="J201" i="16"/>
  <c r="J43" i="19" s="1"/>
  <c r="C197" i="16"/>
  <c r="Q195"/>
  <c r="Q24" i="19" s="1"/>
  <c r="P195" i="16"/>
  <c r="P24" i="19" s="1"/>
  <c r="O195" i="16"/>
  <c r="O24" i="19" s="1"/>
  <c r="N195" i="16"/>
  <c r="N24" i="19" s="1"/>
  <c r="M195" i="16"/>
  <c r="M24" i="19" s="1"/>
  <c r="L195" i="16"/>
  <c r="L24" i="19" s="1"/>
  <c r="K195" i="16"/>
  <c r="K24" i="19" s="1"/>
  <c r="J195" i="16"/>
  <c r="J24" i="19" s="1"/>
  <c r="C191" i="16"/>
  <c r="D184"/>
  <c r="Q177"/>
  <c r="P177"/>
  <c r="O177"/>
  <c r="N177"/>
  <c r="M177"/>
  <c r="L177"/>
  <c r="K177"/>
  <c r="J177"/>
  <c r="D177"/>
  <c r="D172"/>
  <c r="C165"/>
  <c r="Q148"/>
  <c r="Q156" s="1"/>
  <c r="P148"/>
  <c r="O148"/>
  <c r="O156" s="1"/>
  <c r="N148"/>
  <c r="M148"/>
  <c r="M156" s="1"/>
  <c r="L148"/>
  <c r="K148"/>
  <c r="K156" s="1"/>
  <c r="J148"/>
  <c r="E148"/>
  <c r="J146"/>
  <c r="E146"/>
  <c r="D132"/>
  <c r="E130"/>
  <c r="Q129"/>
  <c r="Q46" i="20" s="1"/>
  <c r="P129" i="16"/>
  <c r="P46" i="20" s="1"/>
  <c r="O129" i="16"/>
  <c r="O46" i="20" s="1"/>
  <c r="N129" i="16"/>
  <c r="N46" i="20" s="1"/>
  <c r="M129" i="16"/>
  <c r="M46" i="20" s="1"/>
  <c r="L129" i="16"/>
  <c r="L46" i="20" s="1"/>
  <c r="K129" i="16"/>
  <c r="K46" i="20" s="1"/>
  <c r="J129" i="16"/>
  <c r="J46" i="20" s="1"/>
  <c r="E129" i="16"/>
  <c r="D46" i="20" s="1"/>
  <c r="Q128" i="16"/>
  <c r="Q45" i="20" s="1"/>
  <c r="P128" i="16"/>
  <c r="P45" i="20" s="1"/>
  <c r="O128" i="16"/>
  <c r="O45" i="20" s="1"/>
  <c r="N128" i="16"/>
  <c r="N45" i="20" s="1"/>
  <c r="M128" i="16"/>
  <c r="M45" i="20" s="1"/>
  <c r="L128" i="16"/>
  <c r="L45" i="20" s="1"/>
  <c r="K128" i="16"/>
  <c r="K45" i="20" s="1"/>
  <c r="J128" i="16"/>
  <c r="J45" i="20" s="1"/>
  <c r="E128" i="16"/>
  <c r="D45" i="20" s="1"/>
  <c r="E127" i="16"/>
  <c r="E119"/>
  <c r="E118"/>
  <c r="Q114"/>
  <c r="P114"/>
  <c r="O114"/>
  <c r="N114"/>
  <c r="M114"/>
  <c r="L114"/>
  <c r="K114"/>
  <c r="J114"/>
  <c r="E114"/>
  <c r="E110"/>
  <c r="Q109"/>
  <c r="P109"/>
  <c r="O109"/>
  <c r="N109"/>
  <c r="M109"/>
  <c r="L109"/>
  <c r="K109"/>
  <c r="J109"/>
  <c r="E109"/>
  <c r="Q108"/>
  <c r="P108"/>
  <c r="O108"/>
  <c r="N108"/>
  <c r="M108"/>
  <c r="L108"/>
  <c r="K108"/>
  <c r="J108"/>
  <c r="E108"/>
  <c r="D106"/>
  <c r="E104"/>
  <c r="Q103"/>
  <c r="Q44" i="20" s="1"/>
  <c r="P103" i="16"/>
  <c r="P44" i="20" s="1"/>
  <c r="O103" i="16"/>
  <c r="O44" i="20" s="1"/>
  <c r="N103" i="16"/>
  <c r="N44" i="20" s="1"/>
  <c r="M103" i="16"/>
  <c r="M44" i="20" s="1"/>
  <c r="L103" i="16"/>
  <c r="L44" i="20" s="1"/>
  <c r="K103" i="16"/>
  <c r="K44" i="20" s="1"/>
  <c r="J103" i="16"/>
  <c r="J44" i="20" s="1"/>
  <c r="E103" i="16"/>
  <c r="D44" i="20" s="1"/>
  <c r="Q102" i="16"/>
  <c r="Q43" i="20" s="1"/>
  <c r="P102" i="16"/>
  <c r="P43" i="20" s="1"/>
  <c r="O102" i="16"/>
  <c r="O43" i="20" s="1"/>
  <c r="N102" i="16"/>
  <c r="N43" i="20" s="1"/>
  <c r="M102" i="16"/>
  <c r="M43" i="20" s="1"/>
  <c r="L102" i="16"/>
  <c r="L43" i="20" s="1"/>
  <c r="K102" i="16"/>
  <c r="K43" i="20" s="1"/>
  <c r="J102" i="16"/>
  <c r="J43" i="20" s="1"/>
  <c r="E102" i="16"/>
  <c r="D43" i="20" s="1"/>
  <c r="E101" i="16"/>
  <c r="D92"/>
  <c r="Q84"/>
  <c r="P84"/>
  <c r="P30" i="19" s="1"/>
  <c r="O84" i="16"/>
  <c r="N84"/>
  <c r="N30" i="19" s="1"/>
  <c r="M84" i="16"/>
  <c r="L84"/>
  <c r="L30" i="19" s="1"/>
  <c r="K84" i="16"/>
  <c r="J84"/>
  <c r="J30" i="19" s="1"/>
  <c r="D84" i="16"/>
  <c r="Q83"/>
  <c r="Q171" s="1"/>
  <c r="P83"/>
  <c r="P28" i="18" s="1"/>
  <c r="O83" i="16"/>
  <c r="O171" s="1"/>
  <c r="N83"/>
  <c r="N28" i="18" s="1"/>
  <c r="M83" i="16"/>
  <c r="M171" s="1"/>
  <c r="L83"/>
  <c r="L28" i="18" s="1"/>
  <c r="K83" i="16"/>
  <c r="K171" s="1"/>
  <c r="J83"/>
  <c r="J28" i="18" s="1"/>
  <c r="D83" i="16"/>
  <c r="D171" s="1"/>
  <c r="Q82"/>
  <c r="P82"/>
  <c r="O82"/>
  <c r="N82"/>
  <c r="M82"/>
  <c r="L82"/>
  <c r="K82"/>
  <c r="J82"/>
  <c r="D82"/>
  <c r="Q81"/>
  <c r="P81"/>
  <c r="O81"/>
  <c r="N81"/>
  <c r="M81"/>
  <c r="L81"/>
  <c r="K81"/>
  <c r="J81"/>
  <c r="D81"/>
  <c r="Q80"/>
  <c r="P80"/>
  <c r="O80"/>
  <c r="N80"/>
  <c r="M80"/>
  <c r="L80"/>
  <c r="K80"/>
  <c r="J80"/>
  <c r="D80"/>
  <c r="C78"/>
  <c r="D23" i="27" s="1"/>
  <c r="Q72" i="16"/>
  <c r="Q29" i="19" s="1"/>
  <c r="P72" i="16"/>
  <c r="P29" i="19" s="1"/>
  <c r="O72" i="16"/>
  <c r="O29" i="19" s="1"/>
  <c r="N72" i="16"/>
  <c r="N29" i="19" s="1"/>
  <c r="M72" i="16"/>
  <c r="M29" i="19" s="1"/>
  <c r="L72" i="16"/>
  <c r="L29" i="19" s="1"/>
  <c r="K72" i="16"/>
  <c r="K29" i="19" s="1"/>
  <c r="J72" i="16"/>
  <c r="J29" i="19" s="1"/>
  <c r="D72" i="16"/>
  <c r="Q71"/>
  <c r="Q27" i="18" s="1"/>
  <c r="P71" i="16"/>
  <c r="P170" s="1"/>
  <c r="O71"/>
  <c r="O27" i="18" s="1"/>
  <c r="N71" i="16"/>
  <c r="N170" s="1"/>
  <c r="M71"/>
  <c r="M27" i="18" s="1"/>
  <c r="L71" i="16"/>
  <c r="L170" s="1"/>
  <c r="K71"/>
  <c r="K27" i="18" s="1"/>
  <c r="J71" i="16"/>
  <c r="J170" s="1"/>
  <c r="D71"/>
  <c r="E27" i="18" s="1"/>
  <c r="Q70" i="16"/>
  <c r="P70"/>
  <c r="O70"/>
  <c r="N70"/>
  <c r="M70"/>
  <c r="L70"/>
  <c r="K70"/>
  <c r="J70"/>
  <c r="D70"/>
  <c r="Q69"/>
  <c r="P69"/>
  <c r="O69"/>
  <c r="N69"/>
  <c r="M69"/>
  <c r="L69"/>
  <c r="K69"/>
  <c r="J69"/>
  <c r="D69"/>
  <c r="Q68"/>
  <c r="P68"/>
  <c r="O68"/>
  <c r="N68"/>
  <c r="M68"/>
  <c r="L68"/>
  <c r="K68"/>
  <c r="J68"/>
  <c r="D68"/>
  <c r="C66"/>
  <c r="D22" i="27" s="1"/>
  <c r="B64" i="16"/>
  <c r="I24" i="5" s="1"/>
  <c r="D61" i="16"/>
  <c r="P51"/>
  <c r="N51"/>
  <c r="L51"/>
  <c r="J51"/>
  <c r="Q50"/>
  <c r="Q25" i="20" s="1"/>
  <c r="Q62" s="1"/>
  <c r="O50" i="16"/>
  <c r="O25" i="20" s="1"/>
  <c r="O62" s="1"/>
  <c r="M50" i="16"/>
  <c r="M25" i="20" s="1"/>
  <c r="M62" s="1"/>
  <c r="K50" i="16"/>
  <c r="K25" i="20" s="1"/>
  <c r="K62" s="1"/>
  <c r="D50" i="16"/>
  <c r="P49"/>
  <c r="P55" s="1"/>
  <c r="N49"/>
  <c r="N55" s="1"/>
  <c r="L49"/>
  <c r="L55" s="1"/>
  <c r="J49"/>
  <c r="J55" s="1"/>
  <c r="Q48"/>
  <c r="O48"/>
  <c r="M48"/>
  <c r="K48"/>
  <c r="D48"/>
  <c r="P47"/>
  <c r="N47"/>
  <c r="L47"/>
  <c r="J47"/>
  <c r="C45"/>
  <c r="D21" i="27" s="1"/>
  <c r="P37" i="16"/>
  <c r="P23" i="19" s="1"/>
  <c r="N37" i="16"/>
  <c r="N23" i="19" s="1"/>
  <c r="L37" i="16"/>
  <c r="L23" i="19" s="1"/>
  <c r="J37" i="16"/>
  <c r="J23" i="19" s="1"/>
  <c r="Q36" i="16"/>
  <c r="Q21" i="20" s="1"/>
  <c r="Q61" s="1"/>
  <c r="O36" i="16"/>
  <c r="O21" i="20" s="1"/>
  <c r="O61" s="1"/>
  <c r="M36" i="16"/>
  <c r="M21" i="20" s="1"/>
  <c r="M61" s="1"/>
  <c r="K36" i="16"/>
  <c r="K21" i="20" s="1"/>
  <c r="K61" s="1"/>
  <c r="D36" i="16"/>
  <c r="P35"/>
  <c r="P41" s="1"/>
  <c r="N35"/>
  <c r="N41" s="1"/>
  <c r="L35"/>
  <c r="L41" s="1"/>
  <c r="J35"/>
  <c r="J41" s="1"/>
  <c r="Q34"/>
  <c r="O34"/>
  <c r="M34"/>
  <c r="K34"/>
  <c r="D34"/>
  <c r="P33"/>
  <c r="N33"/>
  <c r="L33"/>
  <c r="J33"/>
  <c r="C31"/>
  <c r="D20" i="27" s="1"/>
  <c r="D26" i="16"/>
  <c r="Q22"/>
  <c r="Q36" i="20" s="1"/>
  <c r="Q72" s="1"/>
  <c r="P22" i="16"/>
  <c r="P36" i="20" s="1"/>
  <c r="P72" s="1"/>
  <c r="O22" i="16"/>
  <c r="O36" i="20" s="1"/>
  <c r="O72" s="1"/>
  <c r="N22" i="16"/>
  <c r="N36" i="20" s="1"/>
  <c r="N72" s="1"/>
  <c r="M22" i="16"/>
  <c r="M36" i="20" s="1"/>
  <c r="M72" s="1"/>
  <c r="L22" i="16"/>
  <c r="L36" i="20" s="1"/>
  <c r="L72" s="1"/>
  <c r="K22" i="16"/>
  <c r="K36" i="20" s="1"/>
  <c r="K72" s="1"/>
  <c r="J22" i="16"/>
  <c r="J36" i="20" s="1"/>
  <c r="J72" s="1"/>
  <c r="C22" i="16"/>
  <c r="D36" i="20" s="1"/>
  <c r="D72" s="1"/>
  <c r="Q21" i="16"/>
  <c r="Q35" i="20" s="1"/>
  <c r="P21" i="16"/>
  <c r="P35" i="20" s="1"/>
  <c r="O21" i="16"/>
  <c r="O35" i="20" s="1"/>
  <c r="N21" i="16"/>
  <c r="N35" i="20" s="1"/>
  <c r="M21" i="16"/>
  <c r="M35" i="20" s="1"/>
  <c r="L21" i="16"/>
  <c r="L35" i="20" s="1"/>
  <c r="K21" i="16"/>
  <c r="K35" i="20" s="1"/>
  <c r="J21" i="16"/>
  <c r="J35" i="20" s="1"/>
  <c r="C21" i="16"/>
  <c r="D35" i="20" s="1"/>
  <c r="D71" s="1"/>
  <c r="Q20" i="16"/>
  <c r="P20"/>
  <c r="O20"/>
  <c r="N20"/>
  <c r="M20"/>
  <c r="L20"/>
  <c r="K20"/>
  <c r="J20"/>
  <c r="C20"/>
  <c r="Q19"/>
  <c r="P19"/>
  <c r="O19"/>
  <c r="N19"/>
  <c r="M19"/>
  <c r="L19"/>
  <c r="K19"/>
  <c r="J19"/>
  <c r="C19"/>
  <c r="Q18"/>
  <c r="P18"/>
  <c r="O18"/>
  <c r="N18"/>
  <c r="M18"/>
  <c r="L18"/>
  <c r="K18"/>
  <c r="J18"/>
  <c r="C18"/>
  <c r="B16"/>
  <c r="I22" i="5" s="1"/>
  <c r="Q12" i="16"/>
  <c r="P12"/>
  <c r="O12"/>
  <c r="N12"/>
  <c r="M12"/>
  <c r="L12"/>
  <c r="K12"/>
  <c r="J12"/>
  <c r="J8" s="1"/>
  <c r="E95" i="13"/>
  <c r="C87"/>
  <c r="C83"/>
  <c r="C66"/>
  <c r="E54"/>
  <c r="E157" i="16" s="1"/>
  <c r="E53" i="13"/>
  <c r="E156" i="16" s="1"/>
  <c r="D39" i="13"/>
  <c r="D125" i="16" s="1"/>
  <c r="Q35" i="13"/>
  <c r="P35"/>
  <c r="O35"/>
  <c r="N35"/>
  <c r="M35"/>
  <c r="L35"/>
  <c r="K35"/>
  <c r="J35"/>
  <c r="D20"/>
  <c r="D99" i="16" s="1"/>
  <c r="Q12" i="13"/>
  <c r="P12"/>
  <c r="O12"/>
  <c r="N12"/>
  <c r="M12"/>
  <c r="L12"/>
  <c r="K12"/>
  <c r="J12"/>
  <c r="J8" s="1"/>
  <c r="J27" i="11"/>
  <c r="J18"/>
  <c r="J12"/>
  <c r="J16" s="1"/>
  <c r="J39" i="16" l="1"/>
  <c r="L39"/>
  <c r="L40" s="1"/>
  <c r="N39"/>
  <c r="P39"/>
  <c r="P40" s="1"/>
  <c r="J53"/>
  <c r="L53"/>
  <c r="L54" s="1"/>
  <c r="N53"/>
  <c r="P53"/>
  <c r="P54" s="1"/>
  <c r="J33" i="19"/>
  <c r="N31" i="22" s="1"/>
  <c r="L33" i="19"/>
  <c r="P31" i="22" s="1"/>
  <c r="N33" i="19"/>
  <c r="R31" i="22" s="1"/>
  <c r="P33" i="19"/>
  <c r="K110" i="16"/>
  <c r="M110"/>
  <c r="O110"/>
  <c r="Q110"/>
  <c r="K39"/>
  <c r="M39"/>
  <c r="M40" s="1"/>
  <c r="O39"/>
  <c r="Q39"/>
  <c r="Q40" s="1"/>
  <c r="K53"/>
  <c r="M53"/>
  <c r="M54" s="1"/>
  <c r="O53"/>
  <c r="Q53"/>
  <c r="Q54" s="1"/>
  <c r="K86"/>
  <c r="M86"/>
  <c r="O86"/>
  <c r="Q86"/>
  <c r="J110"/>
  <c r="L110"/>
  <c r="N110"/>
  <c r="P110"/>
  <c r="I38" i="27"/>
  <c r="K40" i="16"/>
  <c r="O40"/>
  <c r="K54"/>
  <c r="O54"/>
  <c r="J40"/>
  <c r="N40"/>
  <c r="J54"/>
  <c r="N54"/>
  <c r="J211"/>
  <c r="J212" s="1"/>
  <c r="J38" i="20" s="1"/>
  <c r="J74" s="1"/>
  <c r="J199" i="16"/>
  <c r="J200" s="1"/>
  <c r="J30" i="20" s="1"/>
  <c r="J66" s="1"/>
  <c r="J134" i="16"/>
  <c r="J127"/>
  <c r="J205"/>
  <c r="J206" s="1"/>
  <c r="J37" i="20" s="1"/>
  <c r="J39" s="1"/>
  <c r="J92" s="1"/>
  <c r="J193" i="16"/>
  <c r="J194" s="1"/>
  <c r="J29" i="20" s="1"/>
  <c r="J65" s="1"/>
  <c r="J183" i="16"/>
  <c r="J185" s="1"/>
  <c r="J28" i="20" s="1"/>
  <c r="J64" s="1"/>
  <c r="J118" i="16"/>
  <c r="J101"/>
  <c r="L211"/>
  <c r="L212" s="1"/>
  <c r="L38" i="20" s="1"/>
  <c r="L74" s="1"/>
  <c r="L199" i="16"/>
  <c r="L200" s="1"/>
  <c r="L30" i="20" s="1"/>
  <c r="L66" s="1"/>
  <c r="L205" i="16"/>
  <c r="L206" s="1"/>
  <c r="L37" i="20" s="1"/>
  <c r="L193" i="16"/>
  <c r="L194" s="1"/>
  <c r="L29" i="20" s="1"/>
  <c r="L65" s="1"/>
  <c r="N211" i="16"/>
  <c r="N212" s="1"/>
  <c r="N38" i="20" s="1"/>
  <c r="N74" s="1"/>
  <c r="N199" i="16"/>
  <c r="N200" s="1"/>
  <c r="N30" i="20" s="1"/>
  <c r="N66" s="1"/>
  <c r="N205" i="16"/>
  <c r="N206" s="1"/>
  <c r="N37" i="20" s="1"/>
  <c r="N193" i="16"/>
  <c r="N194" s="1"/>
  <c r="N29" i="20" s="1"/>
  <c r="N65" s="1"/>
  <c r="P211" i="16"/>
  <c r="P212" s="1"/>
  <c r="P38" i="20" s="1"/>
  <c r="P74" s="1"/>
  <c r="P199" i="16"/>
  <c r="P200" s="1"/>
  <c r="P30" i="20" s="1"/>
  <c r="P66" s="1"/>
  <c r="P205" i="16"/>
  <c r="P206" s="1"/>
  <c r="P37" i="20" s="1"/>
  <c r="P73" s="1"/>
  <c r="P193" i="16"/>
  <c r="P194" s="1"/>
  <c r="P29" i="20" s="1"/>
  <c r="P65" s="1"/>
  <c r="AX13" i="22"/>
  <c r="J20" i="20"/>
  <c r="J22" s="1"/>
  <c r="J18" i="18"/>
  <c r="J167" i="16"/>
  <c r="AZ13" i="22"/>
  <c r="L20" i="20"/>
  <c r="L22" s="1"/>
  <c r="L18" i="18"/>
  <c r="L167" i="16"/>
  <c r="BB13" i="22"/>
  <c r="N20" i="20"/>
  <c r="N22" s="1"/>
  <c r="N18" i="18"/>
  <c r="N167" i="16"/>
  <c r="BD13" i="22"/>
  <c r="P20" i="20"/>
  <c r="P22" s="1"/>
  <c r="P18" i="18"/>
  <c r="P167" i="16"/>
  <c r="AQ19" i="22"/>
  <c r="AU17"/>
  <c r="E23" i="20"/>
  <c r="D19" i="18"/>
  <c r="D168" i="16"/>
  <c r="AY19" i="22"/>
  <c r="K23" i="20"/>
  <c r="K19" i="18"/>
  <c r="K168" i="16"/>
  <c r="BA19" i="22"/>
  <c r="M23" i="20"/>
  <c r="M19" i="18"/>
  <c r="M168" i="16"/>
  <c r="BC19" i="22"/>
  <c r="O23" i="20"/>
  <c r="O19" i="18"/>
  <c r="O168" i="16"/>
  <c r="BE19" i="22"/>
  <c r="Q23" i="20"/>
  <c r="Q19" i="18"/>
  <c r="BE32" i="22" s="1"/>
  <c r="Q168" i="16"/>
  <c r="AX25" i="22"/>
  <c r="J24" i="20"/>
  <c r="J23" i="18"/>
  <c r="J169" i="16"/>
  <c r="AZ25" i="22"/>
  <c r="L24" i="20"/>
  <c r="L23" i="18"/>
  <c r="L169" i="16"/>
  <c r="BB25" i="22"/>
  <c r="N24" i="20"/>
  <c r="N23" i="18"/>
  <c r="N169" i="16"/>
  <c r="BD25" i="22"/>
  <c r="P24" i="20"/>
  <c r="P23" i="18"/>
  <c r="BD33" i="22" s="1"/>
  <c r="P169" i="16"/>
  <c r="O54" i="22"/>
  <c r="K71" i="20"/>
  <c r="Q54" i="22"/>
  <c r="M71" i="20"/>
  <c r="S54" i="22"/>
  <c r="O71" i="20"/>
  <c r="Q71"/>
  <c r="K87" i="16"/>
  <c r="K88" s="1"/>
  <c r="M87"/>
  <c r="M88" s="1"/>
  <c r="O87"/>
  <c r="O88" s="1"/>
  <c r="Q87"/>
  <c r="Q88" s="1"/>
  <c r="J20" i="11"/>
  <c r="J42" i="16"/>
  <c r="L42"/>
  <c r="N42"/>
  <c r="P42"/>
  <c r="K56"/>
  <c r="O56"/>
  <c r="Q112"/>
  <c r="O112"/>
  <c r="M112"/>
  <c r="K112"/>
  <c r="E112"/>
  <c r="P112"/>
  <c r="P113" s="1"/>
  <c r="N112"/>
  <c r="N113" s="1"/>
  <c r="L112"/>
  <c r="L113" s="1"/>
  <c r="J112"/>
  <c r="K205"/>
  <c r="K206" s="1"/>
  <c r="K37" i="20" s="1"/>
  <c r="K193" i="16"/>
  <c r="K194" s="1"/>
  <c r="K29" i="20" s="1"/>
  <c r="K65" s="1"/>
  <c r="K113" i="16"/>
  <c r="K211"/>
  <c r="K212" s="1"/>
  <c r="K38" i="20" s="1"/>
  <c r="K74" s="1"/>
  <c r="K199" i="16"/>
  <c r="K200" s="1"/>
  <c r="K30" i="20" s="1"/>
  <c r="K66" s="1"/>
  <c r="M205" i="16"/>
  <c r="M206" s="1"/>
  <c r="M37" i="20" s="1"/>
  <c r="M193" i="16"/>
  <c r="M194" s="1"/>
  <c r="M29" i="20" s="1"/>
  <c r="M65" s="1"/>
  <c r="M113" i="16"/>
  <c r="M211"/>
  <c r="M212" s="1"/>
  <c r="M38" i="20" s="1"/>
  <c r="M74" s="1"/>
  <c r="M199" i="16"/>
  <c r="M200" s="1"/>
  <c r="M30" i="20" s="1"/>
  <c r="M66" s="1"/>
  <c r="O205" i="16"/>
  <c r="O206" s="1"/>
  <c r="O37" i="20" s="1"/>
  <c r="O193" i="16"/>
  <c r="O194" s="1"/>
  <c r="O29" i="20" s="1"/>
  <c r="O65" s="1"/>
  <c r="O113" i="16"/>
  <c r="O211"/>
  <c r="O212" s="1"/>
  <c r="O38" i="20" s="1"/>
  <c r="O74" s="1"/>
  <c r="O199" i="16"/>
  <c r="O200" s="1"/>
  <c r="O30" i="20" s="1"/>
  <c r="O66" s="1"/>
  <c r="Q205" i="16"/>
  <c r="Q206" s="1"/>
  <c r="Q37" i="20" s="1"/>
  <c r="Q73" s="1"/>
  <c r="Q193" i="16"/>
  <c r="Q194" s="1"/>
  <c r="Q29" i="20" s="1"/>
  <c r="Q65" s="1"/>
  <c r="Q113" i="16"/>
  <c r="Q211"/>
  <c r="Q212" s="1"/>
  <c r="Q38" i="20" s="1"/>
  <c r="Q74" s="1"/>
  <c r="Q199" i="16"/>
  <c r="Q200" s="1"/>
  <c r="Q30" i="20" s="1"/>
  <c r="Q66" s="1"/>
  <c r="AQ13" i="22"/>
  <c r="AU11"/>
  <c r="E20" i="20"/>
  <c r="D167" i="16"/>
  <c r="D18" i="18"/>
  <c r="AY13" i="22"/>
  <c r="K20" i="20"/>
  <c r="K22" s="1"/>
  <c r="K167" i="16"/>
  <c r="K18" i="18"/>
  <c r="BA13" i="22"/>
  <c r="M20" i="20"/>
  <c r="M22" s="1"/>
  <c r="M167" i="16"/>
  <c r="M18" i="18"/>
  <c r="BC13" i="22"/>
  <c r="O20" i="20"/>
  <c r="O22" s="1"/>
  <c r="O167" i="16"/>
  <c r="O18" i="18"/>
  <c r="BE13" i="22"/>
  <c r="Q20" i="20"/>
  <c r="Q22" s="1"/>
  <c r="Q167" i="16"/>
  <c r="Q18" i="18"/>
  <c r="AX19" i="22"/>
  <c r="J23" i="20"/>
  <c r="J26" s="1"/>
  <c r="N50" i="22" s="1"/>
  <c r="J168" i="16"/>
  <c r="J19" i="18"/>
  <c r="AZ19" i="22"/>
  <c r="L23" i="20"/>
  <c r="L26" s="1"/>
  <c r="P50" i="22" s="1"/>
  <c r="L168" i="16"/>
  <c r="L19" i="18"/>
  <c r="BB19" i="22"/>
  <c r="N23" i="20"/>
  <c r="N26" s="1"/>
  <c r="R50" i="22" s="1"/>
  <c r="N168" i="16"/>
  <c r="N19" i="18"/>
  <c r="BD19" i="22"/>
  <c r="P23" i="20"/>
  <c r="P26" s="1"/>
  <c r="P168" i="16"/>
  <c r="P19" i="18"/>
  <c r="BD32" i="22" s="1"/>
  <c r="AQ25"/>
  <c r="AU23"/>
  <c r="E24" i="20"/>
  <c r="D169" i="16"/>
  <c r="D23" i="18"/>
  <c r="AY25" i="22"/>
  <c r="K24" i="20"/>
  <c r="K169" i="16"/>
  <c r="K23" i="18"/>
  <c r="BA25" i="22"/>
  <c r="M24" i="20"/>
  <c r="M169" i="16"/>
  <c r="M23" i="18"/>
  <c r="BC25" i="22"/>
  <c r="O24" i="20"/>
  <c r="O169" i="16"/>
  <c r="O23" i="18"/>
  <c r="BE25" i="22"/>
  <c r="Q24" i="20"/>
  <c r="Q169" i="16"/>
  <c r="Q23" i="18"/>
  <c r="BE33" i="22" s="1"/>
  <c r="N54"/>
  <c r="J71" i="20"/>
  <c r="P54" i="22"/>
  <c r="L71" i="20"/>
  <c r="L39"/>
  <c r="L92" s="1"/>
  <c r="R54" i="22"/>
  <c r="N71" i="20"/>
  <c r="N39"/>
  <c r="N92" s="1"/>
  <c r="P71"/>
  <c r="P75" s="1"/>
  <c r="P39"/>
  <c r="P92" s="1"/>
  <c r="J39" i="19"/>
  <c r="J56" i="16"/>
  <c r="L39" i="19"/>
  <c r="L56" i="16"/>
  <c r="N39" i="19"/>
  <c r="N56" i="16"/>
  <c r="P39" i="19"/>
  <c r="P56" i="16"/>
  <c r="J17" i="11"/>
  <c r="J19"/>
  <c r="J21"/>
  <c r="K42" i="16"/>
  <c r="M42"/>
  <c r="O42"/>
  <c r="Q42"/>
  <c r="M56"/>
  <c r="Q56"/>
  <c r="D79" i="20"/>
  <c r="D96"/>
  <c r="O58" i="22"/>
  <c r="K79" i="20"/>
  <c r="K96"/>
  <c r="Q58" i="22"/>
  <c r="M79" i="20"/>
  <c r="M96"/>
  <c r="S58" i="22"/>
  <c r="O79" i="20"/>
  <c r="O96"/>
  <c r="Q79"/>
  <c r="Q96"/>
  <c r="J80"/>
  <c r="J97"/>
  <c r="L80"/>
  <c r="L97"/>
  <c r="N97"/>
  <c r="N80"/>
  <c r="P97"/>
  <c r="P80"/>
  <c r="N59" i="22"/>
  <c r="J99" i="20"/>
  <c r="J81"/>
  <c r="P59" i="22"/>
  <c r="L99" i="20"/>
  <c r="L81"/>
  <c r="R59" i="22"/>
  <c r="N99" i="20"/>
  <c r="N81"/>
  <c r="P99"/>
  <c r="P81"/>
  <c r="D100"/>
  <c r="D82"/>
  <c r="K100"/>
  <c r="K82"/>
  <c r="M100"/>
  <c r="M82"/>
  <c r="O100"/>
  <c r="O82"/>
  <c r="Q100"/>
  <c r="Q82"/>
  <c r="K74" i="16"/>
  <c r="M74"/>
  <c r="O74"/>
  <c r="Q74"/>
  <c r="J86"/>
  <c r="L86"/>
  <c r="N86"/>
  <c r="P86"/>
  <c r="J156"/>
  <c r="L156"/>
  <c r="N156"/>
  <c r="P156"/>
  <c r="K157"/>
  <c r="M157"/>
  <c r="O157"/>
  <c r="Q157"/>
  <c r="D170"/>
  <c r="K170"/>
  <c r="M170"/>
  <c r="O170"/>
  <c r="Q170"/>
  <c r="J171"/>
  <c r="L171"/>
  <c r="N171"/>
  <c r="P171"/>
  <c r="J27" i="18"/>
  <c r="J29" s="1"/>
  <c r="L27"/>
  <c r="L29" s="1"/>
  <c r="N27"/>
  <c r="N29" s="1"/>
  <c r="P27"/>
  <c r="P29" s="1"/>
  <c r="P60" i="20" s="1"/>
  <c r="E28" i="18"/>
  <c r="K28"/>
  <c r="K29" s="1"/>
  <c r="M28"/>
  <c r="M29" s="1"/>
  <c r="O28"/>
  <c r="O29" s="1"/>
  <c r="Q28"/>
  <c r="Q29" s="1"/>
  <c r="Q60" i="20" s="1"/>
  <c r="K30" i="19"/>
  <c r="K33" s="1"/>
  <c r="O31" i="22" s="1"/>
  <c r="M30" i="19"/>
  <c r="M33" s="1"/>
  <c r="Q31" i="22" s="1"/>
  <c r="O30" i="19"/>
  <c r="O33" s="1"/>
  <c r="S31" i="22" s="1"/>
  <c r="Q30" i="19"/>
  <c r="Q33" s="1"/>
  <c r="N58" i="22"/>
  <c r="J96" i="20"/>
  <c r="J79"/>
  <c r="P58" i="22"/>
  <c r="L96" i="20"/>
  <c r="L79"/>
  <c r="R58" i="22"/>
  <c r="N96" i="20"/>
  <c r="N79"/>
  <c r="P96"/>
  <c r="P79"/>
  <c r="D97"/>
  <c r="D80"/>
  <c r="K97"/>
  <c r="K80"/>
  <c r="M97"/>
  <c r="M80"/>
  <c r="O97"/>
  <c r="O80"/>
  <c r="Q97"/>
  <c r="Q80"/>
  <c r="D99"/>
  <c r="D81"/>
  <c r="K99"/>
  <c r="O59" i="22"/>
  <c r="K81" i="20"/>
  <c r="M99"/>
  <c r="Q59" i="22"/>
  <c r="M81" i="20"/>
  <c r="O99"/>
  <c r="S59" i="22"/>
  <c r="O81" i="20"/>
  <c r="Q99"/>
  <c r="Q81"/>
  <c r="J100"/>
  <c r="J82"/>
  <c r="L100"/>
  <c r="L82"/>
  <c r="N100"/>
  <c r="N82"/>
  <c r="P100"/>
  <c r="P82"/>
  <c r="J74" i="16"/>
  <c r="L74"/>
  <c r="N74"/>
  <c r="P74"/>
  <c r="J157"/>
  <c r="L157"/>
  <c r="N157"/>
  <c r="P157"/>
  <c r="J20" i="19"/>
  <c r="J61"/>
  <c r="D91" i="20"/>
  <c r="D93"/>
  <c r="D63"/>
  <c r="D75"/>
  <c r="D83"/>
  <c r="Q43" i="16" l="1"/>
  <c r="M43"/>
  <c r="O43"/>
  <c r="K43"/>
  <c r="J57"/>
  <c r="P57"/>
  <c r="L57"/>
  <c r="P43"/>
  <c r="L43"/>
  <c r="Q57"/>
  <c r="M57"/>
  <c r="O39" i="20"/>
  <c r="O92" s="1"/>
  <c r="K39"/>
  <c r="K92" s="1"/>
  <c r="N57" i="16"/>
  <c r="N43"/>
  <c r="J43"/>
  <c r="O57"/>
  <c r="K57"/>
  <c r="S16" i="22"/>
  <c r="O60" i="20"/>
  <c r="O16" i="22"/>
  <c r="K60" i="20"/>
  <c r="Q16" i="22"/>
  <c r="M60" i="20"/>
  <c r="J150" i="16"/>
  <c r="J153"/>
  <c r="J75"/>
  <c r="J76" s="1"/>
  <c r="P16" i="22"/>
  <c r="L60" i="20"/>
  <c r="P75" i="16"/>
  <c r="P76" s="1"/>
  <c r="L75"/>
  <c r="L76" s="1"/>
  <c r="R16" i="22"/>
  <c r="N60" i="20"/>
  <c r="N16" i="22"/>
  <c r="J60" i="20"/>
  <c r="P87" i="16"/>
  <c r="P88" s="1"/>
  <c r="L87"/>
  <c r="L88" s="1"/>
  <c r="Q75"/>
  <c r="Q76" s="1"/>
  <c r="M75"/>
  <c r="M76" s="1"/>
  <c r="P11" i="20"/>
  <c r="N11"/>
  <c r="L11"/>
  <c r="J11"/>
  <c r="Q11"/>
  <c r="O11"/>
  <c r="M11"/>
  <c r="K11"/>
  <c r="P6"/>
  <c r="O6"/>
  <c r="M6"/>
  <c r="K6"/>
  <c r="B6"/>
  <c r="Q11" i="19"/>
  <c r="O11"/>
  <c r="M11"/>
  <c r="K11"/>
  <c r="P6"/>
  <c r="N6"/>
  <c r="L6"/>
  <c r="J6"/>
  <c r="P11" i="18"/>
  <c r="N11"/>
  <c r="L11"/>
  <c r="J11"/>
  <c r="Q6"/>
  <c r="O6"/>
  <c r="M6"/>
  <c r="K6"/>
  <c r="B6"/>
  <c r="Q6" i="20"/>
  <c r="N6"/>
  <c r="L6"/>
  <c r="J6"/>
  <c r="P11" i="19"/>
  <c r="N11"/>
  <c r="L11"/>
  <c r="J11"/>
  <c r="Q6"/>
  <c r="O6"/>
  <c r="M6"/>
  <c r="K6"/>
  <c r="B6"/>
  <c r="Q11" i="18"/>
  <c r="O11"/>
  <c r="M11"/>
  <c r="K11"/>
  <c r="P6"/>
  <c r="N6"/>
  <c r="L6"/>
  <c r="J6"/>
  <c r="Q11" i="16"/>
  <c r="O11"/>
  <c r="M11"/>
  <c r="K11"/>
  <c r="P6"/>
  <c r="N6"/>
  <c r="L6"/>
  <c r="J6"/>
  <c r="P11" i="13"/>
  <c r="N11"/>
  <c r="L11"/>
  <c r="J11"/>
  <c r="Q6"/>
  <c r="O6"/>
  <c r="M6"/>
  <c r="K6"/>
  <c r="B6"/>
  <c r="P11" i="16"/>
  <c r="N11"/>
  <c r="L11"/>
  <c r="J11"/>
  <c r="Q6"/>
  <c r="O6"/>
  <c r="M6"/>
  <c r="K6"/>
  <c r="B6"/>
  <c r="Q11" i="13"/>
  <c r="O11"/>
  <c r="M11"/>
  <c r="K11"/>
  <c r="P6"/>
  <c r="N6"/>
  <c r="L6"/>
  <c r="J6"/>
  <c r="J22" i="11"/>
  <c r="BC33" i="22"/>
  <c r="S14"/>
  <c r="BA33"/>
  <c r="Q14"/>
  <c r="AY33"/>
  <c r="O14"/>
  <c r="AQ33"/>
  <c r="B14"/>
  <c r="Q55"/>
  <c r="Q56" s="1"/>
  <c r="M73" i="20"/>
  <c r="R14" i="22"/>
  <c r="BB33"/>
  <c r="P14"/>
  <c r="AZ33"/>
  <c r="N14"/>
  <c r="AX33"/>
  <c r="AX43"/>
  <c r="AX42"/>
  <c r="S12"/>
  <c r="BC32"/>
  <c r="Q12"/>
  <c r="BA32"/>
  <c r="O12"/>
  <c r="AY32"/>
  <c r="B12"/>
  <c r="AQ32"/>
  <c r="R49"/>
  <c r="P49"/>
  <c r="N49"/>
  <c r="R55"/>
  <c r="R56" s="1"/>
  <c r="N73" i="20"/>
  <c r="N75" s="1"/>
  <c r="N55" i="22"/>
  <c r="N56" s="1"/>
  <c r="J73" i="20"/>
  <c r="J75" s="1"/>
  <c r="Q39"/>
  <c r="Q92" s="1"/>
  <c r="M75"/>
  <c r="N75" i="16"/>
  <c r="N76" s="1"/>
  <c r="N87"/>
  <c r="N88" s="1"/>
  <c r="J87"/>
  <c r="J88" s="1"/>
  <c r="O75"/>
  <c r="O76" s="1"/>
  <c r="K75"/>
  <c r="K76" s="1"/>
  <c r="BB32" i="22"/>
  <c r="R12"/>
  <c r="AZ32"/>
  <c r="P12"/>
  <c r="AX32"/>
  <c r="N12"/>
  <c r="BE31"/>
  <c r="Q21" i="18"/>
  <c r="Q25" s="1"/>
  <c r="BC31" i="22"/>
  <c r="S11"/>
  <c r="S13" s="1"/>
  <c r="S15" s="1"/>
  <c r="O21" i="18"/>
  <c r="O25" s="1"/>
  <c r="S49" i="22"/>
  <c r="BA31"/>
  <c r="Q11"/>
  <c r="M21" i="18"/>
  <c r="M25" s="1"/>
  <c r="Q49" i="22"/>
  <c r="AY31"/>
  <c r="O11"/>
  <c r="O13" s="1"/>
  <c r="O15" s="1"/>
  <c r="K21" i="18"/>
  <c r="K25" s="1"/>
  <c r="O49" i="22"/>
  <c r="AQ31"/>
  <c r="B11"/>
  <c r="S55"/>
  <c r="S56" s="1"/>
  <c r="O73" i="20"/>
  <c r="O75" s="1"/>
  <c r="O55" i="22"/>
  <c r="O56" s="1"/>
  <c r="K73" i="20"/>
  <c r="BD31" i="22"/>
  <c r="P21" i="18"/>
  <c r="P25" s="1"/>
  <c r="BB31" i="22"/>
  <c r="R11"/>
  <c r="N21" i="18"/>
  <c r="N25" s="1"/>
  <c r="AZ31" i="22"/>
  <c r="P11"/>
  <c r="L21" i="18"/>
  <c r="L25" s="1"/>
  <c r="AX31" i="22"/>
  <c r="N11"/>
  <c r="J21" i="18"/>
  <c r="J25" s="1"/>
  <c r="P55" i="22"/>
  <c r="P56" s="1"/>
  <c r="L73" i="20"/>
  <c r="J104" i="16"/>
  <c r="J130"/>
  <c r="J23" i="11"/>
  <c r="L75" i="20"/>
  <c r="Q75"/>
  <c r="M39"/>
  <c r="M92" s="1"/>
  <c r="K75"/>
  <c r="Q26"/>
  <c r="O26"/>
  <c r="S50" i="22" s="1"/>
  <c r="M26" i="20"/>
  <c r="Q50" i="22" s="1"/>
  <c r="K26" i="20"/>
  <c r="O50" i="22" s="1"/>
  <c r="P13" l="1"/>
  <c r="P15" s="1"/>
  <c r="I57" i="16"/>
  <c r="K21" i="27" s="1"/>
  <c r="M21" s="1"/>
  <c r="I43" i="16"/>
  <c r="K20" i="27" s="1"/>
  <c r="M20" s="1"/>
  <c r="I88" i="16"/>
  <c r="K23" i="27" s="1"/>
  <c r="M23" s="1"/>
  <c r="N9" i="20"/>
  <c r="O8" s="1"/>
  <c r="Q9"/>
  <c r="M9"/>
  <c r="N8" s="1"/>
  <c r="Q9" i="19"/>
  <c r="M9"/>
  <c r="N8" s="1"/>
  <c r="P9" i="18"/>
  <c r="Q8" s="1"/>
  <c r="L9"/>
  <c r="M8" s="1"/>
  <c r="N9" i="19"/>
  <c r="O8" s="1"/>
  <c r="Q9" i="18"/>
  <c r="M9"/>
  <c r="N8" s="1"/>
  <c r="K9" i="13"/>
  <c r="L8" s="1"/>
  <c r="O9"/>
  <c r="P8" s="1"/>
  <c r="L9" i="16"/>
  <c r="M8" s="1"/>
  <c r="P9"/>
  <c r="Q8" s="1"/>
  <c r="J25" i="11"/>
  <c r="L9" i="13"/>
  <c r="M8" s="1"/>
  <c r="P9"/>
  <c r="Q8" s="1"/>
  <c r="M9" i="16"/>
  <c r="N8" s="1"/>
  <c r="Q9"/>
  <c r="P9" i="20"/>
  <c r="Q8" s="1"/>
  <c r="L9"/>
  <c r="M8" s="1"/>
  <c r="O9"/>
  <c r="P8" s="1"/>
  <c r="K9"/>
  <c r="L8" s="1"/>
  <c r="O9" i="19"/>
  <c r="P8" s="1"/>
  <c r="K9"/>
  <c r="L8" s="1"/>
  <c r="N9" i="18"/>
  <c r="O8" s="1"/>
  <c r="P9" i="19"/>
  <c r="Q8" s="1"/>
  <c r="L9"/>
  <c r="M8" s="1"/>
  <c r="O9" i="18"/>
  <c r="P8" s="1"/>
  <c r="K9"/>
  <c r="L8" s="1"/>
  <c r="J24" i="11"/>
  <c r="M9" i="13"/>
  <c r="N8" s="1"/>
  <c r="Q9"/>
  <c r="N9" i="16"/>
  <c r="O8" s="1"/>
  <c r="J53" i="11"/>
  <c r="N9" i="13"/>
  <c r="O8" s="1"/>
  <c r="K9" i="16"/>
  <c r="L8" s="1"/>
  <c r="O9"/>
  <c r="P8" s="1"/>
  <c r="J59" i="19"/>
  <c r="J44" i="13"/>
  <c r="K127" i="16"/>
  <c r="J48" i="19"/>
  <c r="J51" s="1"/>
  <c r="N35" i="22" s="1"/>
  <c r="J25" i="13"/>
  <c r="K101" i="16"/>
  <c r="AX34" i="22"/>
  <c r="J31" i="18"/>
  <c r="P23" i="22"/>
  <c r="P17"/>
  <c r="BB34"/>
  <c r="N31" i="18"/>
  <c r="O23" i="22"/>
  <c r="O17"/>
  <c r="BA34"/>
  <c r="M31" i="18"/>
  <c r="S23" i="22"/>
  <c r="S17"/>
  <c r="BE34"/>
  <c r="Q31" i="18"/>
  <c r="AZ34" i="22"/>
  <c r="L31" i="18"/>
  <c r="BD34" i="22"/>
  <c r="P31" i="18"/>
  <c r="AY34" i="22"/>
  <c r="K31" i="18"/>
  <c r="BC34" i="22"/>
  <c r="O31" i="18"/>
  <c r="M10" i="13"/>
  <c r="Q10"/>
  <c r="L10" i="16"/>
  <c r="P10"/>
  <c r="L10" i="13"/>
  <c r="P10"/>
  <c r="M10" i="16"/>
  <c r="Q10"/>
  <c r="M10" i="18"/>
  <c r="Q10"/>
  <c r="L10" i="19"/>
  <c r="P10"/>
  <c r="L10" i="18"/>
  <c r="P10"/>
  <c r="M10" i="19"/>
  <c r="Q10"/>
  <c r="M10" i="20"/>
  <c r="Q10"/>
  <c r="L10"/>
  <c r="P10"/>
  <c r="I76" i="16"/>
  <c r="K22" i="27" s="1"/>
  <c r="M22" s="1"/>
  <c r="J115" i="16"/>
  <c r="N13" i="22"/>
  <c r="N15" s="1"/>
  <c r="R13"/>
  <c r="R15" s="1"/>
  <c r="K10" i="13"/>
  <c r="O10"/>
  <c r="J10" i="16"/>
  <c r="N10"/>
  <c r="J10" i="13"/>
  <c r="N10"/>
  <c r="K10" i="16"/>
  <c r="O10"/>
  <c r="K10" i="18"/>
  <c r="O10"/>
  <c r="J10" i="19"/>
  <c r="N10"/>
  <c r="J10" i="18"/>
  <c r="N10"/>
  <c r="K10" i="19"/>
  <c r="O10"/>
  <c r="K10" i="20"/>
  <c r="O10"/>
  <c r="J10"/>
  <c r="N10"/>
  <c r="Q13" i="22"/>
  <c r="Q15" s="1"/>
  <c r="J13" i="20" l="1"/>
  <c r="J7"/>
  <c r="K13"/>
  <c r="K7"/>
  <c r="K13" i="19"/>
  <c r="K7"/>
  <c r="J13" i="18"/>
  <c r="J7"/>
  <c r="J13" i="19"/>
  <c r="J7"/>
  <c r="K13" i="18"/>
  <c r="K7"/>
  <c r="K13" i="16"/>
  <c r="K7"/>
  <c r="J13" i="13"/>
  <c r="J7"/>
  <c r="D12" i="31" s="1"/>
  <c r="J13" i="16"/>
  <c r="J7"/>
  <c r="K13" i="13"/>
  <c r="K7"/>
  <c r="D13" i="31" s="1"/>
  <c r="N23" i="22"/>
  <c r="N17"/>
  <c r="L13" i="20"/>
  <c r="L7"/>
  <c r="M13"/>
  <c r="M7"/>
  <c r="M13" i="19"/>
  <c r="M7"/>
  <c r="L13" i="18"/>
  <c r="L7"/>
  <c r="L13" i="19"/>
  <c r="L7"/>
  <c r="M13" i="18"/>
  <c r="M7"/>
  <c r="M13" i="16"/>
  <c r="M7"/>
  <c r="L13" i="13"/>
  <c r="L7"/>
  <c r="D14" i="31" s="1"/>
  <c r="L13" i="16"/>
  <c r="L7"/>
  <c r="M13" i="13"/>
  <c r="M7"/>
  <c r="D15" i="31" s="1"/>
  <c r="K130" i="16"/>
  <c r="K41" i="13"/>
  <c r="N40" i="22"/>
  <c r="J46" i="11"/>
  <c r="J55"/>
  <c r="J54" s="1"/>
  <c r="J56" s="1"/>
  <c r="J9" i="20"/>
  <c r="K8" s="1"/>
  <c r="J9" i="18"/>
  <c r="K8" s="1"/>
  <c r="J9" i="19"/>
  <c r="K8" s="1"/>
  <c r="J9" i="13"/>
  <c r="K8" s="1"/>
  <c r="J9" i="16"/>
  <c r="B7" i="20"/>
  <c r="B7" i="19"/>
  <c r="B7" i="16"/>
  <c r="B7" i="18"/>
  <c r="B7" i="13"/>
  <c r="Q23" i="22"/>
  <c r="Q17"/>
  <c r="N13" i="20"/>
  <c r="N7"/>
  <c r="O13"/>
  <c r="O7"/>
  <c r="O13" i="19"/>
  <c r="O7"/>
  <c r="N13" i="18"/>
  <c r="N7"/>
  <c r="N13" i="19"/>
  <c r="N7"/>
  <c r="O13" i="18"/>
  <c r="O7"/>
  <c r="O13" i="16"/>
  <c r="O7"/>
  <c r="N13" i="13"/>
  <c r="N7"/>
  <c r="D16" i="31" s="1"/>
  <c r="N13" i="16"/>
  <c r="N7"/>
  <c r="O13" i="13"/>
  <c r="O7"/>
  <c r="D17" i="31" s="1"/>
  <c r="R23" i="22"/>
  <c r="R17"/>
  <c r="P13" i="20"/>
  <c r="P7"/>
  <c r="Q13"/>
  <c r="Q7"/>
  <c r="Q13" i="19"/>
  <c r="Q7"/>
  <c r="P13" i="18"/>
  <c r="P7"/>
  <c r="BD7" i="22" s="1"/>
  <c r="P13" i="19"/>
  <c r="P7"/>
  <c r="Q13" i="18"/>
  <c r="Q7"/>
  <c r="BE7" i="22" s="1"/>
  <c r="Q13" i="16"/>
  <c r="Q7"/>
  <c r="P13" i="13"/>
  <c r="P7"/>
  <c r="D18" i="31" s="1"/>
  <c r="P13" i="16"/>
  <c r="P7"/>
  <c r="Q13" i="13"/>
  <c r="Q7"/>
  <c r="D19" i="31" s="1"/>
  <c r="K104" i="16"/>
  <c r="K22" i="13"/>
  <c r="J58" i="11" l="1"/>
  <c r="J57"/>
  <c r="K48" i="19"/>
  <c r="K51" s="1"/>
  <c r="O35" i="22" s="1"/>
  <c r="K25" i="13"/>
  <c r="L101" i="16"/>
  <c r="BC7" i="22"/>
  <c r="S47"/>
  <c r="S28"/>
  <c r="S9"/>
  <c r="R9"/>
  <c r="R47"/>
  <c r="BB7"/>
  <c r="R28"/>
  <c r="J47" i="11"/>
  <c r="J48" s="1"/>
  <c r="Q47" i="22"/>
  <c r="Q28"/>
  <c r="Q9"/>
  <c r="BA7"/>
  <c r="P28"/>
  <c r="P9"/>
  <c r="P47"/>
  <c r="AZ7"/>
  <c r="AU38"/>
  <c r="AU47"/>
  <c r="AY7"/>
  <c r="O47"/>
  <c r="O28"/>
  <c r="O9"/>
  <c r="N9"/>
  <c r="N47"/>
  <c r="AX7"/>
  <c r="N28"/>
  <c r="B47"/>
  <c r="B28"/>
  <c r="B9"/>
  <c r="AP7"/>
  <c r="K8" i="16"/>
  <c r="J113"/>
  <c r="J116" s="1"/>
  <c r="K59" i="19"/>
  <c r="K44" i="13"/>
  <c r="L127" i="16"/>
  <c r="K115"/>
  <c r="K116" s="1"/>
  <c r="J49" i="11" l="1"/>
  <c r="L130" i="16"/>
  <c r="L41" i="13"/>
  <c r="K33" i="18"/>
  <c r="K172" i="16"/>
  <c r="K173" s="1"/>
  <c r="K175" s="1"/>
  <c r="K179" s="1"/>
  <c r="K119"/>
  <c r="K120" s="1"/>
  <c r="K27" i="20" s="1"/>
  <c r="J172" i="16"/>
  <c r="J173" s="1"/>
  <c r="J175" s="1"/>
  <c r="J179" s="1"/>
  <c r="J119"/>
  <c r="J33" i="18"/>
  <c r="L104" i="16"/>
  <c r="L22" i="13"/>
  <c r="O40" i="22"/>
  <c r="L48" i="19" l="1"/>
  <c r="L51" s="1"/>
  <c r="P35" i="22" s="1"/>
  <c r="L25" i="13"/>
  <c r="M101" i="16"/>
  <c r="N18" i="22"/>
  <c r="N19" s="1"/>
  <c r="J59" i="20"/>
  <c r="J35" i="18"/>
  <c r="J37"/>
  <c r="J184" i="16"/>
  <c r="K37" i="18"/>
  <c r="K184" i="16"/>
  <c r="L185" s="1"/>
  <c r="L28" i="20" s="1"/>
  <c r="L64" s="1"/>
  <c r="J120" i="16"/>
  <c r="J27" i="20" s="1"/>
  <c r="J121" i="16"/>
  <c r="K95" i="20"/>
  <c r="K63"/>
  <c r="K93"/>
  <c r="O18" i="22"/>
  <c r="O19" s="1"/>
  <c r="K59" i="20"/>
  <c r="K35" i="18"/>
  <c r="K39" s="1"/>
  <c r="L59" i="19"/>
  <c r="L44" i="13"/>
  <c r="M127" i="16"/>
  <c r="L115"/>
  <c r="L116" s="1"/>
  <c r="L172" l="1"/>
  <c r="L173" s="1"/>
  <c r="L175" s="1"/>
  <c r="L179" s="1"/>
  <c r="L119"/>
  <c r="L120" s="1"/>
  <c r="L27" i="20" s="1"/>
  <c r="L33" i="18"/>
  <c r="K57" i="20"/>
  <c r="K41" i="18"/>
  <c r="K63" i="19"/>
  <c r="K151" i="16"/>
  <c r="K158" s="1"/>
  <c r="J93" i="20"/>
  <c r="J95"/>
  <c r="J63"/>
  <c r="J31"/>
  <c r="K185" i="16"/>
  <c r="K28" i="20" s="1"/>
  <c r="J186" i="16"/>
  <c r="J39" i="18"/>
  <c r="M130" i="16"/>
  <c r="M41" i="13"/>
  <c r="P40" i="22"/>
  <c r="J41" i="19"/>
  <c r="K118" i="16"/>
  <c r="K121" s="1"/>
  <c r="O20" i="22"/>
  <c r="O21" s="1"/>
  <c r="K58" i="20"/>
  <c r="N20" i="22"/>
  <c r="N21" s="1"/>
  <c r="J58" i="20"/>
  <c r="M104" i="16"/>
  <c r="M22" i="13"/>
  <c r="M48" i="19" l="1"/>
  <c r="M51" s="1"/>
  <c r="Q35" i="22" s="1"/>
  <c r="M25" i="13"/>
  <c r="N101" i="16"/>
  <c r="K41" i="19"/>
  <c r="L118" i="16"/>
  <c r="L121" s="1"/>
  <c r="M59" i="19"/>
  <c r="M44" i="13"/>
  <c r="N127" i="16"/>
  <c r="J57" i="20"/>
  <c r="J67" s="1"/>
  <c r="J63" i="19"/>
  <c r="J151" i="16"/>
  <c r="J41" i="18"/>
  <c r="J40" i="19"/>
  <c r="K183" i="16"/>
  <c r="K186" s="1"/>
  <c r="N52" i="22"/>
  <c r="J91" i="20"/>
  <c r="J94" s="1"/>
  <c r="J98" s="1"/>
  <c r="J101" s="1"/>
  <c r="P18" i="22"/>
  <c r="P19" s="1"/>
  <c r="L59" i="20"/>
  <c r="L35" i="18"/>
  <c r="L37"/>
  <c r="L184" i="16"/>
  <c r="M185" s="1"/>
  <c r="M28" i="20" s="1"/>
  <c r="M64" s="1"/>
  <c r="K64"/>
  <c r="K67" s="1"/>
  <c r="K31"/>
  <c r="L93"/>
  <c r="L95"/>
  <c r="L63"/>
  <c r="L31"/>
  <c r="M115" i="16"/>
  <c r="M116" s="1"/>
  <c r="L39" i="18" l="1"/>
  <c r="L63" i="19" s="1"/>
  <c r="M33" i="18"/>
  <c r="M172" i="16"/>
  <c r="M173" s="1"/>
  <c r="M175" s="1"/>
  <c r="M179" s="1"/>
  <c r="M119"/>
  <c r="M120" s="1"/>
  <c r="M27" i="20" s="1"/>
  <c r="L57"/>
  <c r="L41" i="18"/>
  <c r="J154" i="16"/>
  <c r="J155" s="1"/>
  <c r="N51" i="22"/>
  <c r="J158" i="16"/>
  <c r="J152"/>
  <c r="L41" i="19"/>
  <c r="M118" i="16"/>
  <c r="M121" s="1"/>
  <c r="N104"/>
  <c r="N115" s="1"/>
  <c r="N116" s="1"/>
  <c r="N22" i="13"/>
  <c r="P52" i="22"/>
  <c r="L91" i="20"/>
  <c r="L94" s="1"/>
  <c r="L98" s="1"/>
  <c r="L101" s="1"/>
  <c r="O52" i="22"/>
  <c r="K91" i="20"/>
  <c r="K94" s="1"/>
  <c r="K98" s="1"/>
  <c r="K101" s="1"/>
  <c r="P20" i="22"/>
  <c r="P21" s="1"/>
  <c r="L58" i="20"/>
  <c r="K40" i="19"/>
  <c r="L183" i="16"/>
  <c r="L186" s="1"/>
  <c r="N130"/>
  <c r="N41" i="13"/>
  <c r="Q40" i="22"/>
  <c r="L151" i="16" l="1"/>
  <c r="L158" s="1"/>
  <c r="O51" i="22"/>
  <c r="L154" i="16"/>
  <c r="P51" i="22"/>
  <c r="N48" i="19"/>
  <c r="N51" s="1"/>
  <c r="R35" i="22" s="1"/>
  <c r="N25" i="13"/>
  <c r="O101" i="16"/>
  <c r="M41" i="19"/>
  <c r="N118" i="16"/>
  <c r="M95" i="20"/>
  <c r="M63"/>
  <c r="M93"/>
  <c r="M31"/>
  <c r="Q18" i="22"/>
  <c r="Q19" s="1"/>
  <c r="M59" i="20"/>
  <c r="M35" i="18"/>
  <c r="J159" i="16"/>
  <c r="J135" s="1"/>
  <c r="N59" i="19"/>
  <c r="N44" i="13"/>
  <c r="O127" i="16"/>
  <c r="L40" i="19"/>
  <c r="M183" i="16"/>
  <c r="K154"/>
  <c r="N172"/>
  <c r="N173" s="1"/>
  <c r="N175" s="1"/>
  <c r="N179" s="1"/>
  <c r="N119"/>
  <c r="N120" s="1"/>
  <c r="N27" i="20" s="1"/>
  <c r="N33" i="18"/>
  <c r="M37"/>
  <c r="M184" i="16"/>
  <c r="N185" s="1"/>
  <c r="N28" i="20" s="1"/>
  <c r="N64" s="1"/>
  <c r="L67"/>
  <c r="J161" i="16" l="1"/>
  <c r="R18" i="22"/>
  <c r="R19" s="1"/>
  <c r="N59" i="20"/>
  <c r="N35" i="18"/>
  <c r="N37"/>
  <c r="N184" i="16"/>
  <c r="O185" s="1"/>
  <c r="O28" i="20" s="1"/>
  <c r="O64" s="1"/>
  <c r="J64" i="19"/>
  <c r="J136" i="16"/>
  <c r="J47" i="20" s="1"/>
  <c r="M39" i="18"/>
  <c r="Q20" i="22"/>
  <c r="Q21" s="1"/>
  <c r="M58" i="20"/>
  <c r="N93"/>
  <c r="N95"/>
  <c r="N63"/>
  <c r="N31"/>
  <c r="O130" i="16"/>
  <c r="O41" i="13"/>
  <c r="R40" i="22"/>
  <c r="Q52"/>
  <c r="M91" i="20"/>
  <c r="M94" s="1"/>
  <c r="M98" s="1"/>
  <c r="M101" s="1"/>
  <c r="O104" i="16"/>
  <c r="O115" s="1"/>
  <c r="O116" s="1"/>
  <c r="O22" i="13"/>
  <c r="M186" i="16"/>
  <c r="N121"/>
  <c r="N41" i="19" l="1"/>
  <c r="O118" i="16"/>
  <c r="O33" i="18"/>
  <c r="O172" i="16"/>
  <c r="O173" s="1"/>
  <c r="O175" s="1"/>
  <c r="O179" s="1"/>
  <c r="O119"/>
  <c r="O120" s="1"/>
  <c r="O27" i="20" s="1"/>
  <c r="Q51" i="22"/>
  <c r="R52"/>
  <c r="N91" i="20"/>
  <c r="N94" s="1"/>
  <c r="N98" s="1"/>
  <c r="N101" s="1"/>
  <c r="N60" i="22"/>
  <c r="N61" s="1"/>
  <c r="N63" s="1"/>
  <c r="J102" i="20"/>
  <c r="J103" s="1"/>
  <c r="J83"/>
  <c r="J84" s="1"/>
  <c r="J48"/>
  <c r="N39" i="18"/>
  <c r="M40" i="19"/>
  <c r="N183" i="16"/>
  <c r="N186" s="1"/>
  <c r="O48" i="19"/>
  <c r="O51" s="1"/>
  <c r="S35" i="22" s="1"/>
  <c r="O25" i="13"/>
  <c r="P101" i="16"/>
  <c r="M154"/>
  <c r="O59" i="19"/>
  <c r="O44" i="13"/>
  <c r="P127" i="16"/>
  <c r="M57" i="20"/>
  <c r="M67" s="1"/>
  <c r="M41" i="18"/>
  <c r="M63" i="19"/>
  <c r="M151" i="16"/>
  <c r="M158" s="1"/>
  <c r="R20" i="22"/>
  <c r="R21" s="1"/>
  <c r="N58" i="20"/>
  <c r="J137" i="16"/>
  <c r="O121" l="1"/>
  <c r="P118" s="1"/>
  <c r="J42" i="19"/>
  <c r="J44" s="1"/>
  <c r="K134" i="16"/>
  <c r="J139"/>
  <c r="P104"/>
  <c r="P22" i="13"/>
  <c r="N57" i="20"/>
  <c r="N67" s="1"/>
  <c r="N63" i="19"/>
  <c r="N151" i="16"/>
  <c r="N158" s="1"/>
  <c r="N41" i="18"/>
  <c r="J50" i="20"/>
  <c r="J21" i="19" s="1"/>
  <c r="J22" s="1"/>
  <c r="O95" i="20"/>
  <c r="O63"/>
  <c r="O93"/>
  <c r="O31"/>
  <c r="S18" i="22"/>
  <c r="S19" s="1"/>
  <c r="O59" i="20"/>
  <c r="O35" i="18"/>
  <c r="P130" i="16"/>
  <c r="P41" i="13"/>
  <c r="S40" i="22"/>
  <c r="N40" i="19"/>
  <c r="O183" i="16"/>
  <c r="J86" i="20"/>
  <c r="J106" s="1"/>
  <c r="J108" s="1"/>
  <c r="N154" i="16"/>
  <c r="R51" i="22"/>
  <c r="O37" i="18"/>
  <c r="O184" i="16"/>
  <c r="P185" s="1"/>
  <c r="P28" i="20" s="1"/>
  <c r="P64" s="1"/>
  <c r="O41" i="19"/>
  <c r="J105" i="20" l="1"/>
  <c r="J109" s="1"/>
  <c r="S20" i="22"/>
  <c r="O58" i="20"/>
  <c r="P59" i="19"/>
  <c r="P44" i="13"/>
  <c r="Q127" i="16"/>
  <c r="J110" i="20"/>
  <c r="P48" i="19"/>
  <c r="P51" s="1"/>
  <c r="P25" i="13"/>
  <c r="Q101" i="16"/>
  <c r="J141"/>
  <c r="J140"/>
  <c r="N34" i="22"/>
  <c r="N36" s="1"/>
  <c r="AY54" s="1"/>
  <c r="BA54" s="1"/>
  <c r="J53" i="19"/>
  <c r="O39" i="18"/>
  <c r="S21" i="22"/>
  <c r="S52"/>
  <c r="O91" i="20"/>
  <c r="O94" s="1"/>
  <c r="O98" s="1"/>
  <c r="O101" s="1"/>
  <c r="J25" i="19"/>
  <c r="J73"/>
  <c r="K20"/>
  <c r="O186" i="16"/>
  <c r="P115"/>
  <c r="P116" s="1"/>
  <c r="J107" i="20" l="1"/>
  <c r="J142" i="16"/>
  <c r="J111" i="20"/>
  <c r="P172" i="16"/>
  <c r="P173" s="1"/>
  <c r="P175" s="1"/>
  <c r="P179" s="1"/>
  <c r="P119"/>
  <c r="P33" i="18"/>
  <c r="O40" i="19"/>
  <c r="P183" i="16"/>
  <c r="K153"/>
  <c r="K155" s="1"/>
  <c r="N30" i="22"/>
  <c r="N32" s="1"/>
  <c r="J35" i="19"/>
  <c r="J55" s="1"/>
  <c r="S51" i="22"/>
  <c r="Q130" i="16"/>
  <c r="Q41" i="13"/>
  <c r="O154" i="16"/>
  <c r="O57" i="20"/>
  <c r="O67" s="1"/>
  <c r="O41" i="18"/>
  <c r="O63" i="19"/>
  <c r="O151" i="16"/>
  <c r="O158" s="1"/>
  <c r="Q104"/>
  <c r="Q22" i="13"/>
  <c r="J62" i="19" l="1"/>
  <c r="J65" s="1"/>
  <c r="P59" i="20"/>
  <c r="P35" i="18"/>
  <c r="P37"/>
  <c r="P58" i="20" s="1"/>
  <c r="P184" i="16"/>
  <c r="Q185" s="1"/>
  <c r="Q28" i="20" s="1"/>
  <c r="Q64" s="1"/>
  <c r="Q48" i="19"/>
  <c r="Q51" s="1"/>
  <c r="Q25" i="13"/>
  <c r="Q59" i="19"/>
  <c r="Q44" i="13"/>
  <c r="AX53" i="22"/>
  <c r="N38"/>
  <c r="P120" i="16"/>
  <c r="P27" i="20" s="1"/>
  <c r="Q115" i="16"/>
  <c r="Q116" s="1"/>
  <c r="P39" i="18" l="1"/>
  <c r="P57" i="20" s="1"/>
  <c r="Q33" i="18"/>
  <c r="Q172" i="16"/>
  <c r="Q173" s="1"/>
  <c r="Q175" s="1"/>
  <c r="Q179" s="1"/>
  <c r="Q119"/>
  <c r="Q120" s="1"/>
  <c r="Q27" i="20" s="1"/>
  <c r="BA55" i="22"/>
  <c r="BB55" s="1"/>
  <c r="AX55"/>
  <c r="BA53"/>
  <c r="P121" i="16"/>
  <c r="P186"/>
  <c r="P93" i="20"/>
  <c r="P95"/>
  <c r="P63"/>
  <c r="P31"/>
  <c r="P63" i="19"/>
  <c r="P41" i="18"/>
  <c r="N41" i="22"/>
  <c r="N42" s="1"/>
  <c r="K61" i="19"/>
  <c r="J67"/>
  <c r="J69" s="1"/>
  <c r="P67" i="20" l="1"/>
  <c r="P151" i="16"/>
  <c r="P158" s="1"/>
  <c r="J70" i="19"/>
  <c r="J71" s="1"/>
  <c r="K150" i="16"/>
  <c r="K152" s="1"/>
  <c r="K159" s="1"/>
  <c r="P91" i="20"/>
  <c r="P94" s="1"/>
  <c r="P98" s="1"/>
  <c r="P101" s="1"/>
  <c r="P40" i="19"/>
  <c r="Q183" i="16"/>
  <c r="Q95" i="20"/>
  <c r="Q63"/>
  <c r="Q93"/>
  <c r="Q31"/>
  <c r="Q59"/>
  <c r="Q35" i="18"/>
  <c r="P41" i="19"/>
  <c r="Q118" i="16"/>
  <c r="Q121" s="1"/>
  <c r="Q41" i="19" s="1"/>
  <c r="AZ54" i="22"/>
  <c r="BB54" s="1"/>
  <c r="BB53"/>
  <c r="Q37" i="18"/>
  <c r="Q58" i="20" s="1"/>
  <c r="Q184" i="16"/>
  <c r="Q91" i="20" l="1"/>
  <c r="Q94" s="1"/>
  <c r="Q98" s="1"/>
  <c r="Q101" s="1"/>
  <c r="Q39" i="18"/>
  <c r="Q186" i="16"/>
  <c r="Q40" i="19" s="1"/>
  <c r="P154" i="16"/>
  <c r="K135"/>
  <c r="K161"/>
  <c r="K64" i="19" l="1"/>
  <c r="K65" s="1"/>
  <c r="K136" i="16"/>
  <c r="K47" i="20" s="1"/>
  <c r="Q57"/>
  <c r="Q67" s="1"/>
  <c r="Q41" i="18"/>
  <c r="I41" s="1"/>
  <c r="K25" i="27" s="1"/>
  <c r="M25" s="1"/>
  <c r="Q63" i="19"/>
  <c r="Q151" i="16"/>
  <c r="Q158" s="1"/>
  <c r="Q154"/>
  <c r="O41" i="22" l="1"/>
  <c r="O42" s="1"/>
  <c r="L61" i="19"/>
  <c r="K67"/>
  <c r="K137" i="16"/>
  <c r="K102" i="20"/>
  <c r="K103" s="1"/>
  <c r="O60" i="22"/>
  <c r="O61" s="1"/>
  <c r="O63" s="1"/>
  <c r="K83" i="20"/>
  <c r="K84" s="1"/>
  <c r="K48"/>
  <c r="K86" l="1"/>
  <c r="K106" s="1"/>
  <c r="K108" s="1"/>
  <c r="K50"/>
  <c r="K21" i="19" s="1"/>
  <c r="K22" s="1"/>
  <c r="K42"/>
  <c r="K44" s="1"/>
  <c r="L134" i="16"/>
  <c r="K139"/>
  <c r="L150"/>
  <c r="L152" s="1"/>
  <c r="L159" s="1"/>
  <c r="L135" l="1"/>
  <c r="L161"/>
  <c r="K141"/>
  <c r="K140"/>
  <c r="O34" i="22"/>
  <c r="O36" s="1"/>
  <c r="K53" i="19"/>
  <c r="K105" i="20"/>
  <c r="K73" i="19"/>
  <c r="K25"/>
  <c r="L20"/>
  <c r="K142" i="16" l="1"/>
  <c r="O30" i="22"/>
  <c r="O32" s="1"/>
  <c r="O38" s="1"/>
  <c r="K35" i="19"/>
  <c r="K55" s="1"/>
  <c r="K69" s="1"/>
  <c r="L153" i="16"/>
  <c r="L155" s="1"/>
  <c r="L64" i="19"/>
  <c r="L65" s="1"/>
  <c r="L136" i="16"/>
  <c r="K110" i="20"/>
  <c r="K109"/>
  <c r="K107"/>
  <c r="K111" l="1"/>
  <c r="L47"/>
  <c r="L137" i="16"/>
  <c r="L139" s="1"/>
  <c r="K70" i="19"/>
  <c r="K71" s="1"/>
  <c r="P41" i="22"/>
  <c r="P42" s="1"/>
  <c r="M61" i="19"/>
  <c r="L67"/>
  <c r="L42" l="1"/>
  <c r="L44" s="1"/>
  <c r="M134" i="16"/>
  <c r="M150"/>
  <c r="M152" s="1"/>
  <c r="M159" s="1"/>
  <c r="L141"/>
  <c r="L140"/>
  <c r="P60" i="22"/>
  <c r="P61" s="1"/>
  <c r="P63" s="1"/>
  <c r="L102" i="20"/>
  <c r="L103" s="1"/>
  <c r="L83"/>
  <c r="L84" s="1"/>
  <c r="L48"/>
  <c r="L142" i="16" l="1"/>
  <c r="M135"/>
  <c r="M161"/>
  <c r="L86" i="20"/>
  <c r="L106" s="1"/>
  <c r="L108" s="1"/>
  <c r="L50"/>
  <c r="L21" i="19" s="1"/>
  <c r="L22" s="1"/>
  <c r="P34" i="22"/>
  <c r="P36" s="1"/>
  <c r="L53" i="19"/>
  <c r="L25" l="1"/>
  <c r="L73"/>
  <c r="M20"/>
  <c r="M64"/>
  <c r="M65" s="1"/>
  <c r="M136" i="16"/>
  <c r="L105" i="20"/>
  <c r="M47" l="1"/>
  <c r="M137" i="16"/>
  <c r="M139" s="1"/>
  <c r="M153"/>
  <c r="M155" s="1"/>
  <c r="P30" i="22"/>
  <c r="P32" s="1"/>
  <c r="P38" s="1"/>
  <c r="L35" i="19"/>
  <c r="L55" s="1"/>
  <c r="L69" s="1"/>
  <c r="L110" i="20"/>
  <c r="L109"/>
  <c r="L107"/>
  <c r="Q41" i="22"/>
  <c r="Q42" s="1"/>
  <c r="N61" i="19"/>
  <c r="M67"/>
  <c r="L111" i="20" l="1"/>
  <c r="M141" i="16"/>
  <c r="M140"/>
  <c r="N150"/>
  <c r="N152" s="1"/>
  <c r="N159" s="1"/>
  <c r="L70" i="19"/>
  <c r="L71" s="1"/>
  <c r="M102" i="20"/>
  <c r="M103" s="1"/>
  <c r="Q60" i="22"/>
  <c r="Q61" s="1"/>
  <c r="Q63" s="1"/>
  <c r="M83" i="20"/>
  <c r="M84" s="1"/>
  <c r="M48"/>
  <c r="M42" i="19"/>
  <c r="M44" s="1"/>
  <c r="N134" i="16"/>
  <c r="M142" l="1"/>
  <c r="Q34" i="22"/>
  <c r="Q36" s="1"/>
  <c r="M53" i="19"/>
  <c r="M86" i="20"/>
  <c r="M106" s="1"/>
  <c r="M108" s="1"/>
  <c r="M50"/>
  <c r="M21" i="19" s="1"/>
  <c r="M22" s="1"/>
  <c r="N135" i="16"/>
  <c r="N161"/>
  <c r="M105" i="20" l="1"/>
  <c r="M73" i="19"/>
  <c r="M25"/>
  <c r="N20"/>
  <c r="N64"/>
  <c r="N65" s="1"/>
  <c r="N136" i="16"/>
  <c r="N47" i="20" s="1"/>
  <c r="M110"/>
  <c r="M109"/>
  <c r="M107"/>
  <c r="N137" i="16"/>
  <c r="M111" i="20" l="1"/>
  <c r="N42" i="19"/>
  <c r="N44" s="1"/>
  <c r="O134" i="16"/>
  <c r="R41" i="22"/>
  <c r="R42" s="1"/>
  <c r="O61" i="19"/>
  <c r="N67"/>
  <c r="Q30" i="22"/>
  <c r="Q32" s="1"/>
  <c r="Q38" s="1"/>
  <c r="M35" i="19"/>
  <c r="M55" s="1"/>
  <c r="M69" s="1"/>
  <c r="N139" i="16"/>
  <c r="R60" i="22"/>
  <c r="R61" s="1"/>
  <c r="R63" s="1"/>
  <c r="N102" i="20"/>
  <c r="N103" s="1"/>
  <c r="N83"/>
  <c r="N84" s="1"/>
  <c r="N48"/>
  <c r="N153" i="16"/>
  <c r="N155" s="1"/>
  <c r="N86" i="20" l="1"/>
  <c r="N106" s="1"/>
  <c r="N108" s="1"/>
  <c r="M70" i="19"/>
  <c r="M71" s="1"/>
  <c r="R34" i="22"/>
  <c r="R36" s="1"/>
  <c r="N53" i="19"/>
  <c r="N50" i="20"/>
  <c r="N21" i="19" s="1"/>
  <c r="N22" s="1"/>
  <c r="N141" i="16"/>
  <c r="N142" s="1"/>
  <c r="N140"/>
  <c r="O150"/>
  <c r="O152" s="1"/>
  <c r="O159" s="1"/>
  <c r="N105" i="20" l="1"/>
  <c r="N110" s="1"/>
  <c r="O135" i="16"/>
  <c r="O161"/>
  <c r="N25" i="19"/>
  <c r="N73"/>
  <c r="O20"/>
  <c r="N109" i="20" l="1"/>
  <c r="N107"/>
  <c r="N111" s="1"/>
  <c r="O153" i="16"/>
  <c r="O155" s="1"/>
  <c r="R30" i="22"/>
  <c r="R32" s="1"/>
  <c r="R38" s="1"/>
  <c r="N35" i="19"/>
  <c r="N55" s="1"/>
  <c r="N69" s="1"/>
  <c r="O64"/>
  <c r="O65" s="1"/>
  <c r="O136" i="16"/>
  <c r="O47" i="20" s="1"/>
  <c r="S41" i="22" l="1"/>
  <c r="S42" s="1"/>
  <c r="P61" i="19"/>
  <c r="O67"/>
  <c r="O137" i="16"/>
  <c r="O102" i="20"/>
  <c r="O103" s="1"/>
  <c r="S60" i="22"/>
  <c r="S61" s="1"/>
  <c r="S63" s="1"/>
  <c r="O83" i="20"/>
  <c r="O84" s="1"/>
  <c r="O48"/>
  <c r="N70" i="19"/>
  <c r="N71" s="1"/>
  <c r="O86" i="20" l="1"/>
  <c r="O106" s="1"/>
  <c r="O108" s="1"/>
  <c r="O50"/>
  <c r="O21" i="19" s="1"/>
  <c r="O22" s="1"/>
  <c r="O42"/>
  <c r="O44" s="1"/>
  <c r="P134" i="16"/>
  <c r="O139"/>
  <c r="P150"/>
  <c r="P152" s="1"/>
  <c r="P159" s="1"/>
  <c r="P135" l="1"/>
  <c r="P161"/>
  <c r="O141"/>
  <c r="O140"/>
  <c r="S34" i="22"/>
  <c r="S36" s="1"/>
  <c r="O53" i="19"/>
  <c r="O105" i="20"/>
  <c r="O73" i="19"/>
  <c r="O25"/>
  <c r="P20"/>
  <c r="O142" i="16" l="1"/>
  <c r="P153"/>
  <c r="P155" s="1"/>
  <c r="P64" i="19"/>
  <c r="P65" s="1"/>
  <c r="P136" i="16"/>
  <c r="S30" i="22"/>
  <c r="S32" s="1"/>
  <c r="S38" s="1"/>
  <c r="O35" i="19"/>
  <c r="O55" s="1"/>
  <c r="O69" s="1"/>
  <c r="O110" i="20"/>
  <c r="O109"/>
  <c r="O107"/>
  <c r="O111" l="1"/>
  <c r="Q61" i="19"/>
  <c r="P67"/>
  <c r="O70"/>
  <c r="O71" s="1"/>
  <c r="P47" i="20"/>
  <c r="P137" i="16"/>
  <c r="P139" s="1"/>
  <c r="P141" l="1"/>
  <c r="P140"/>
  <c r="P102" i="20"/>
  <c r="P103" s="1"/>
  <c r="P83"/>
  <c r="P84" s="1"/>
  <c r="P48"/>
  <c r="Q150" i="16"/>
  <c r="Q152" s="1"/>
  <c r="Q159" s="1"/>
  <c r="P42" i="19"/>
  <c r="P44" s="1"/>
  <c r="P53" s="1"/>
  <c r="Q134" i="16"/>
  <c r="P142" l="1"/>
  <c r="P86" i="20"/>
  <c r="P106" s="1"/>
  <c r="P108" s="1"/>
  <c r="Q135" i="16"/>
  <c r="Q161"/>
  <c r="I161" s="1"/>
  <c r="K61" i="27" s="1"/>
  <c r="M61" s="1"/>
  <c r="P50" i="20"/>
  <c r="P21" i="19" s="1"/>
  <c r="P22" s="1"/>
  <c r="P25" l="1"/>
  <c r="P35" s="1"/>
  <c r="P55" s="1"/>
  <c r="P69" s="1"/>
  <c r="P73"/>
  <c r="Q20"/>
  <c r="Q64"/>
  <c r="Q65" s="1"/>
  <c r="Q67" s="1"/>
  <c r="Q136" i="16"/>
  <c r="P105" i="20"/>
  <c r="Q137" i="16"/>
  <c r="Q42" i="19" s="1"/>
  <c r="Q44" s="1"/>
  <c r="Q53" s="1"/>
  <c r="Q47" i="20" l="1"/>
  <c r="Q139" i="16"/>
  <c r="Q153"/>
  <c r="Q155" s="1"/>
  <c r="P70" i="19"/>
  <c r="P71" s="1"/>
  <c r="P110" i="20"/>
  <c r="P109"/>
  <c r="P107"/>
  <c r="P111" l="1"/>
  <c r="Q102"/>
  <c r="Q103" s="1"/>
  <c r="Q83"/>
  <c r="Q84" s="1"/>
  <c r="Q48"/>
  <c r="Q141" i="16"/>
  <c r="Q140"/>
  <c r="Q142" l="1"/>
  <c r="I142" s="1"/>
  <c r="K24" i="27" s="1"/>
  <c r="M24" s="1"/>
  <c r="Q50" i="20"/>
  <c r="Q21" i="19" s="1"/>
  <c r="Q22" s="1"/>
  <c r="Q86" i="20"/>
  <c r="Q106" s="1"/>
  <c r="Q108" s="1"/>
  <c r="Q73" i="19" l="1"/>
  <c r="I73" s="1"/>
  <c r="K62" i="27" s="1"/>
  <c r="M62" s="1"/>
  <c r="M64" s="1"/>
  <c r="Q25" i="19"/>
  <c r="Q35" s="1"/>
  <c r="Q55" s="1"/>
  <c r="Q69" s="1"/>
  <c r="Q105" i="20"/>
  <c r="I54" i="27" l="1"/>
  <c r="I55"/>
  <c r="Q110" i="20"/>
  <c r="Q109"/>
  <c r="Q107"/>
  <c r="Q70" i="19"/>
  <c r="Q71" s="1"/>
  <c r="I71" s="1"/>
  <c r="K26" i="27" s="1"/>
  <c r="M26" s="1"/>
  <c r="Q111" i="20" l="1"/>
  <c r="I111" s="1"/>
  <c r="K27" i="27" s="1"/>
  <c r="M27" s="1"/>
  <c r="M29" s="1"/>
  <c r="I13" l="1"/>
  <c r="I14"/>
  <c r="C10" i="4" s="1"/>
  <c r="B2" i="29" l="1"/>
  <c r="B2" i="27"/>
  <c r="B2" i="25"/>
  <c r="C11" i="23"/>
  <c r="C11" i="21"/>
  <c r="B2" i="31"/>
  <c r="B2" i="30"/>
  <c r="C11" i="28"/>
  <c r="C11" i="26"/>
  <c r="C11" i="24"/>
  <c r="B2" i="22"/>
  <c r="B2" i="19"/>
  <c r="C11" i="17"/>
  <c r="B2" i="20"/>
  <c r="B2" i="18"/>
  <c r="B2" i="16"/>
  <c r="C11" i="14"/>
  <c r="C11" i="12"/>
  <c r="C11" i="10"/>
  <c r="B2" i="8"/>
  <c r="C11" i="6"/>
  <c r="B2" i="5"/>
  <c r="C11" i="15"/>
  <c r="B2" i="13"/>
  <c r="B2" i="11"/>
  <c r="C11" i="9"/>
  <c r="C11" i="7"/>
</calcChain>
</file>

<file path=xl/comments1.xml><?xml version="1.0" encoding="utf-8"?>
<comments xmlns="http://schemas.openxmlformats.org/spreadsheetml/2006/main">
  <authors>
    <author>Best Practice Modelling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Notes indicating linked workbooks on cover sheet.</t>
        </r>
      </text>
    </comment>
  </commentList>
</comments>
</file>

<file path=xl/comments10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External workbook imports located on a dedicated, workbook-specific model import and export sheets (BPMS 13-1, BPMC 13-1).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External workbook imports linked directly from linked workbook exports
(BPMS 13-3, BPMC 13-3).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import and export sheet consistency (BPMC 13-2).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D38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import section (BPMC 13-4).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V7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Linked workbooks diagram used to clearly specify links between workbooks (BPMC 13-5).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5.xml><?xml version="1.0" encoding="utf-8"?>
<comments xmlns="http://schemas.openxmlformats.org/spreadsheetml/2006/main">
  <authors>
    <author>Best Practice Modelling</author>
    <author>Michael Hutchens</author>
  </authors>
  <commentList>
    <comment ref="I43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76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8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42" authorId="1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61" authorId="1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6.xml><?xml version="1.0" encoding="utf-8"?>
<comments xmlns="http://schemas.openxmlformats.org/spreadsheetml/2006/main">
  <authors>
    <author>Michael Hutchens</author>
  </authors>
  <commentList>
    <comment ref="C25" authorId="0">
      <text>
        <r>
          <rPr>
            <sz val="8"/>
            <color indexed="81"/>
            <rFont val="Tahoma"/>
            <family val="2"/>
          </rPr>
          <t>EBITDA = Earnings Before Interest, Tax, Depreciation &amp; Amortisation</t>
        </r>
      </text>
    </comment>
    <comment ref="C31" authorId="0">
      <text>
        <r>
          <rPr>
            <sz val="8"/>
            <color indexed="81"/>
            <rFont val="Tahoma"/>
            <family val="2"/>
          </rPr>
          <t>EBIT = Earnings Before Interest &amp; Tax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7.xml><?xml version="1.0" encoding="utf-8"?>
<comments xmlns="http://schemas.openxmlformats.org/spreadsheetml/2006/main">
  <authors>
    <author>Michael Hutchens</author>
  </authors>
  <commentList>
    <comment ref="I7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8.xml><?xml version="1.0" encoding="utf-8"?>
<comments xmlns="http://schemas.openxmlformats.org/spreadsheetml/2006/main">
  <authors>
    <author>Michael Hutchens</author>
  </authors>
  <commentList>
    <comment ref="B89" authorId="0">
      <text>
        <r>
          <rPr>
            <sz val="8"/>
            <color indexed="81"/>
            <rFont val="Tahoma"/>
            <family val="2"/>
          </rPr>
          <t>Reconciliation used for valuation purposes and to determine dividends payable.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9.xml><?xml version="1.0" encoding="utf-8"?>
<comments xmlns="http://schemas.openxmlformats.org/spreadsheetml/2006/main">
  <authors>
    <author>Best Practice Modelling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imports section used to contain all model imports (BPMC 13-4).</t>
        </r>
      </text>
    </comment>
  </commentList>
</comments>
</file>

<file path=xl/sharedStrings.xml><?xml version="1.0" encoding="utf-8"?>
<sst xmlns="http://schemas.openxmlformats.org/spreadsheetml/2006/main" count="735" uniqueCount="402">
  <si>
    <t>Best Practice Modelling</t>
  </si>
  <si>
    <t>Go to Table of Contents</t>
  </si>
  <si>
    <t>Primary Developer:  BPM</t>
  </si>
  <si>
    <t>Cover Notes</t>
  </si>
  <si>
    <t>-</t>
  </si>
  <si>
    <t>This example model has been set up to demonstrate the best practice linking of multiple workbooks.</t>
  </si>
  <si>
    <t>This workbook imports data from the workbook 'BPM-SMA 13-Best Practice Model Example 2'.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</si>
  <si>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</si>
  <si>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Table of Contents</t>
  </si>
  <si>
    <t>Go to Cover Sheet</t>
  </si>
  <si>
    <t>é</t>
  </si>
  <si>
    <t>Section &amp; Sheet Titles</t>
  </si>
  <si>
    <t>1.1.</t>
  </si>
  <si>
    <t>a.</t>
  </si>
  <si>
    <t>2.1.</t>
  </si>
  <si>
    <t>2.2.</t>
  </si>
  <si>
    <t>3.1.</t>
  </si>
  <si>
    <t>3.2.</t>
  </si>
  <si>
    <t>b.</t>
  </si>
  <si>
    <t>c.</t>
  </si>
  <si>
    <t>3.3.</t>
  </si>
  <si>
    <t>4.1.</t>
  </si>
  <si>
    <t>4.2.</t>
  </si>
  <si>
    <t>4.3.</t>
  </si>
  <si>
    <t>Overview</t>
  </si>
  <si>
    <t>Section 1.</t>
  </si>
  <si>
    <t>ç</t>
  </si>
  <si>
    <t>è</t>
  </si>
  <si>
    <t>Section Cover Notes</t>
  </si>
  <si>
    <t>Contains notes explaining the purpose and use of this model and where more help can be obtained.</t>
  </si>
  <si>
    <t>Contains diagrams summarising designated components of the model.</t>
  </si>
  <si>
    <t>Also contains keys explaining the Formats &amp; Styles, Sheet Naming &amp; Range Naming principles used in this model.</t>
  </si>
  <si>
    <t>Notes</t>
  </si>
  <si>
    <t>Sub-Section 1.1.</t>
  </si>
  <si>
    <t>Sub-Section Cover Notes</t>
  </si>
  <si>
    <t>Contains general notes about the purpose and use of this model.</t>
  </si>
  <si>
    <t>Also contains contact details for BPM.</t>
  </si>
  <si>
    <t>Linked Workbooks Diagram</t>
  </si>
  <si>
    <t>x</t>
  </si>
  <si>
    <t>h</t>
  </si>
  <si>
    <t>O</t>
  </si>
  <si>
    <t>BPM-SMA 13-Best Practice Model Example 1</t>
  </si>
  <si>
    <t>Description</t>
  </si>
  <si>
    <t>●</t>
  </si>
  <si>
    <t>Financial model.</t>
  </si>
  <si>
    <t>Details</t>
  </si>
  <si>
    <t>Contains capital structure, taxation and other financial financial statement items assumptions.</t>
  </si>
  <si>
    <t>Operational</t>
  </si>
  <si>
    <t>Working Capital</t>
  </si>
  <si>
    <t>Assets</t>
  </si>
  <si>
    <t>BPM-SMA 13-Best Practice Model Example 2</t>
  </si>
  <si>
    <t>Operational model.</t>
  </si>
  <si>
    <t>Contains operational, working capital and assets assumptions.</t>
  </si>
  <si>
    <t>Assumptions</t>
  </si>
  <si>
    <t>Section 2.</t>
  </si>
  <si>
    <t>Contains base case assumptions used to generate the base case outputs.</t>
  </si>
  <si>
    <t>Time Series Assumptions</t>
  </si>
  <si>
    <t>Sub-Section 2.1.</t>
  </si>
  <si>
    <t>Sub-Section Cover Notes:</t>
  </si>
  <si>
    <t>Contains assumptions used to drive the time series analysis within the model.</t>
  </si>
  <si>
    <t>Core Time Series Assumptions</t>
  </si>
  <si>
    <t>Title</t>
  </si>
  <si>
    <t>Primary</t>
  </si>
  <si>
    <t>Periodicity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</si>
  <si>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</si>
  <si>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</si>
  <si>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</si>
  <si>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</si>
  <si>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</si>
  <si>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</si>
  <si>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</si>
  <si>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</si>
  <si>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Periods In Year</t>
  </si>
  <si>
    <t>Months In Period</t>
  </si>
  <si>
    <t>First Period Financial Period Number</t>
  </si>
  <si>
    <t>First Period Start Date (If Full Period)</t>
  </si>
  <si>
    <t>First Period End Date</t>
  </si>
  <si>
    <t>Denomination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</si>
  <si>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</si>
  <si>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</si>
  <si>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</si>
  <si>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</si>
  <si>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</si>
  <si>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</si>
  <si>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(A)</t>
  </si>
  <si>
    <t>Budget Periods Title</t>
  </si>
  <si>
    <t>(B)</t>
  </si>
  <si>
    <t>Forecast Period Title</t>
  </si>
  <si>
    <t>(F)</t>
  </si>
  <si>
    <t>Data &amp; Projections - Timing Assumptions</t>
  </si>
  <si>
    <t>Data Term Basis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</si>
  <si>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</si>
  <si>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</si>
  <si>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</si>
  <si>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</si>
  <si>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</si>
  <si>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</si>
  <si>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</si>
  <si>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</si>
  <si>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</si>
  <si>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</si>
  <si>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</si>
  <si>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</si>
  <si>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</si>
  <si>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</si>
  <si>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Forecast Assumptions</t>
  </si>
  <si>
    <t>Sub-Section 2.2.</t>
  </si>
  <si>
    <t>Contains forecast assumptions for all areas within the underlying business.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</si>
  <si>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</si>
  <si>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</si>
  <si>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</si>
  <si>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</si>
  <si>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</si>
  <si>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</si>
  <si>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Capital - Assumptions</t>
  </si>
  <si>
    <t>Debt - Assumptions</t>
  </si>
  <si>
    <t>Opening Balance</t>
  </si>
  <si>
    <t>Debt Drawdowns</t>
  </si>
  <si>
    <t>Debt Repayments</t>
  </si>
  <si>
    <t>Closing Debt Balance</t>
  </si>
  <si>
    <t>Drawdowns/Repayments % into Period</t>
  </si>
  <si>
    <t>Interest Expense</t>
  </si>
  <si>
    <t>Opening Interest Payable</t>
  </si>
  <si>
    <t>Base Interest Rate (% p.a.)</t>
  </si>
  <si>
    <t>Margin (% p.a.)</t>
  </si>
  <si>
    <t>All-In Interest Rate (% p.a.)</t>
  </si>
  <si>
    <t>Ordinary Equity - Assumptions</t>
  </si>
  <si>
    <t>Equity Raisings</t>
  </si>
  <si>
    <t>Equity Repayments</t>
  </si>
  <si>
    <t>Closing Ordinary Equity</t>
  </si>
  <si>
    <t>Dividends Payable &amp; Paid</t>
  </si>
  <si>
    <t>Dividend Determination Method:</t>
  </si>
  <si>
    <t>Dividend Declaration Period?</t>
  </si>
  <si>
    <t>Yes</t>
  </si>
  <si>
    <t>Dividends cannot be negative.</t>
  </si>
  <si>
    <t>Dividends cannot exceed accumulated Retained Profits (Opening Retained Profits + Net Profit After Tax) in any period.</t>
  </si>
  <si>
    <t>Taxation - Assumptions</t>
  </si>
  <si>
    <t>Opening Tax Payable</t>
  </si>
  <si>
    <t>Taxation Rate</t>
  </si>
  <si>
    <t>Corporate Taxation Rate</t>
  </si>
  <si>
    <t>Tax is assumed to be paid in the period after tax expense is incurred.</t>
  </si>
  <si>
    <t>The Corporate Taxation Rate is limited to a minimum of 0% and a maximum of 100%.</t>
  </si>
  <si>
    <t>Tax calculations do not allow for tax losses, deferred tax assets or deferred tax liabilities - i.e. negative tax expense will result in cash tax receipts.</t>
  </si>
  <si>
    <t>Other Balance Sheet Items - Assumptions</t>
  </si>
  <si>
    <t>Opening Cash at Bank</t>
  </si>
  <si>
    <t xml:space="preserve">Opening Balance </t>
  </si>
  <si>
    <t>Other Current Assets</t>
  </si>
  <si>
    <t>Other Current Liabilities</t>
  </si>
  <si>
    <t>Other Non-Current Assets</t>
  </si>
  <si>
    <t>Other Non-Current Liabilities</t>
  </si>
  <si>
    <t>Retained Profits are used to balance the Opening Balance Sheet.</t>
  </si>
  <si>
    <t>Other Current Assets and Other Current Liabilities assumed to impact Other Operating Cash Flows.</t>
  </si>
  <si>
    <t>Other Non-Current Assets and Non-Other Current Liabilities assumed to impact Other Investing Cash Flows.</t>
  </si>
  <si>
    <t>Outputs</t>
  </si>
  <si>
    <t>Section 3.</t>
  </si>
  <si>
    <t>Contains base case outputs - i.e. includes only the impacts of base case assumptions.</t>
  </si>
  <si>
    <t>Forecast Outputs</t>
  </si>
  <si>
    <t>Sub-Section 3.1.</t>
  </si>
  <si>
    <t>Contains forecast outputs for all areas within the underlying business other than financial statements.</t>
  </si>
  <si>
    <t>Operational data imported from operational model.</t>
  </si>
  <si>
    <t>Error Values Detected</t>
  </si>
  <si>
    <t>Error in Balancing of Components</t>
  </si>
  <si>
    <t>Positive Cash Receipts Error</t>
  </si>
  <si>
    <t>Negative Closing Balance Error</t>
  </si>
  <si>
    <t>Total Error Checks Result</t>
  </si>
  <si>
    <t>Positive Cash Payments Error</t>
  </si>
  <si>
    <t>Working capital data imported from operational model.</t>
  </si>
  <si>
    <t>Assets data imported from operational model.</t>
  </si>
  <si>
    <t>Capital - Outputs</t>
  </si>
  <si>
    <t>Debt - Outputs</t>
  </si>
  <si>
    <t>Period % of Full Year</t>
  </si>
  <si>
    <t>Average Debt Outstanding</t>
  </si>
  <si>
    <t>Interest Paid</t>
  </si>
  <si>
    <t>Closing Interest Payable</t>
  </si>
  <si>
    <t>Ordinary Equity - Outputs</t>
  </si>
  <si>
    <t>Dividends Declared During Period</t>
  </si>
  <si>
    <t>Dividends Paid During Period</t>
  </si>
  <si>
    <t>Closing Dividends Payable</t>
  </si>
  <si>
    <t>Error in Ordinary Equity Balances</t>
  </si>
  <si>
    <t>Error in Dividends Payable Balances</t>
  </si>
  <si>
    <t>Dividends Payable &amp; Paid - Calculation</t>
  </si>
  <si>
    <t>Opening Retained Profits</t>
  </si>
  <si>
    <t>Net Profit After Tax (NPAT)</t>
  </si>
  <si>
    <t>Maximum Dividends Allowed</t>
  </si>
  <si>
    <t>Cash Flow Available for Dividends</t>
  </si>
  <si>
    <t>Total Available Cash For Dividends</t>
  </si>
  <si>
    <t>Target Dividends Declared</t>
  </si>
  <si>
    <t>Actual Dividends Declared</t>
  </si>
  <si>
    <t>Alert Check (Limited Dividends)</t>
  </si>
  <si>
    <t>Taxation - Output Summary</t>
  </si>
  <si>
    <t>Net Profit Before Tax (NPBT)</t>
  </si>
  <si>
    <t>Accounting Taxable Profit / (Loss)</t>
  </si>
  <si>
    <t>Tax Expense / (Benefit)</t>
  </si>
  <si>
    <t>Tax Payable (&amp; Paid)</t>
  </si>
  <si>
    <t>Tax Paid</t>
  </si>
  <si>
    <t>Closing Balance</t>
  </si>
  <si>
    <t>Other Balance Sheet Items - Outputs</t>
  </si>
  <si>
    <t>Movement</t>
  </si>
  <si>
    <t>Financial Statements</t>
  </si>
  <si>
    <t>Sub-Section 3.2.</t>
  </si>
  <si>
    <t>Contains the forecast Income Statement, Balance Sheet and Cash Flow Statement.</t>
  </si>
  <si>
    <t>Income Statement</t>
  </si>
  <si>
    <t>Gross Margin</t>
  </si>
  <si>
    <t>EBITDA</t>
  </si>
  <si>
    <t>Depreciation &amp; Amortization</t>
  </si>
  <si>
    <t>EBIT</t>
  </si>
  <si>
    <t>Net Profit Before Tax</t>
  </si>
  <si>
    <t>Net Profit After Tax</t>
  </si>
  <si>
    <t>Error Check</t>
  </si>
  <si>
    <t>Revenues and expenses enter the Income Statement as positive and negative numbers respectively.</t>
  </si>
  <si>
    <t>Balance Sheet</t>
  </si>
  <si>
    <t>Current Assets</t>
  </si>
  <si>
    <t>Opening Cash</t>
  </si>
  <si>
    <t>Net Change in Cash Held</t>
  </si>
  <si>
    <t>Cash at Bank</t>
  </si>
  <si>
    <t>Accounts Receivable</t>
  </si>
  <si>
    <t>Non-Current Assets</t>
  </si>
  <si>
    <t>Intangibles</t>
  </si>
  <si>
    <t>Deferred Tax Assets</t>
  </si>
  <si>
    <t>Total Assets</t>
  </si>
  <si>
    <t>Current Liabilities</t>
  </si>
  <si>
    <t>Accounts Payable</t>
  </si>
  <si>
    <t>Tax Payable</t>
  </si>
  <si>
    <t>Debt Interest Payable</t>
  </si>
  <si>
    <t>Ordinary Equity Dividends Payable</t>
  </si>
  <si>
    <t>Non-Current Liabilities</t>
  </si>
  <si>
    <t>Debt</t>
  </si>
  <si>
    <t>Deferred Tax Liabilities</t>
  </si>
  <si>
    <t>Total Liabilities</t>
  </si>
  <si>
    <t>Net Assets</t>
  </si>
  <si>
    <t>Equity</t>
  </si>
  <si>
    <t>Ordinary Equity</t>
  </si>
  <si>
    <t>Opening Balance Sheet Balancing Item</t>
  </si>
  <si>
    <t>Net Profit During Period</t>
  </si>
  <si>
    <t>Ordinary Equity Dividends Declared</t>
  </si>
  <si>
    <t>Retained Profits</t>
  </si>
  <si>
    <t>Error Values Check</t>
  </si>
  <si>
    <t>Balance Check</t>
  </si>
  <si>
    <t>Total Error Check Result</t>
  </si>
  <si>
    <t>Alert Check (Negative Cash)</t>
  </si>
  <si>
    <t>Cash Flow Statement</t>
  </si>
  <si>
    <t>Direct Cash Flow Statement</t>
  </si>
  <si>
    <t>Cash Flow from Operating Activities</t>
  </si>
  <si>
    <t>Decrease in Accounts Receivable</t>
  </si>
  <si>
    <t>Cash Receipts</t>
  </si>
  <si>
    <t>Increase in Accounts Payable</t>
  </si>
  <si>
    <t>Cash Payments</t>
  </si>
  <si>
    <t>Decrease in Other Current Assets</t>
  </si>
  <si>
    <t>Increase in Other Current Liabilities</t>
  </si>
  <si>
    <t>Cash Flow from Investing Activities</t>
  </si>
  <si>
    <t>Decrease in Other Non-Current Assets</t>
  </si>
  <si>
    <t>Increase in Other Non-Current Liabilities</t>
  </si>
  <si>
    <t>Cash Flow from Financing Activities</t>
  </si>
  <si>
    <t>Net Increase / (Decrease) in Cash Held</t>
  </si>
  <si>
    <t>Indirect Cash Flow Statement</t>
  </si>
  <si>
    <t>(Add Back) Tax Expense</t>
  </si>
  <si>
    <t>(Add Back) Total Debt Interest Expense</t>
  </si>
  <si>
    <t>(Add Back) Total Book Depreciation &amp; Amortisation</t>
  </si>
  <si>
    <t>Capital Providers - Cash Flow Reconciliation</t>
  </si>
  <si>
    <t>Cash Flow Available To Capital Providers</t>
  </si>
  <si>
    <t>Cash Flow Available to Equity (CFAE)</t>
  </si>
  <si>
    <t>Error Values Detected - Direct Method</t>
  </si>
  <si>
    <t>Error Values Detected - Indirect Method</t>
  </si>
  <si>
    <t>Cash Flow Summation Check - Direct Method</t>
  </si>
  <si>
    <t>Cash Flow Summation Check - Indirect Method</t>
  </si>
  <si>
    <t>Direct vs. Indirect Reconciliation Check</t>
  </si>
  <si>
    <t>CFAE Reconciliation Consistency</t>
  </si>
  <si>
    <t>Dashboard Outputs</t>
  </si>
  <si>
    <t>Sub-Section 3.3.</t>
  </si>
  <si>
    <t>Contains a dashboard-style presentation output sheet.</t>
  </si>
  <si>
    <t>Business Planning Summary</t>
  </si>
  <si>
    <t>[Insert Tile 2 Heading]</t>
  </si>
  <si>
    <t>Chart 1 Data</t>
  </si>
  <si>
    <t>Chart 2 Data</t>
  </si>
  <si>
    <t>Chart 3 Data</t>
  </si>
  <si>
    <t>EBITDA Margin</t>
  </si>
  <si>
    <t>[Insert Tile 4 Heading]</t>
  </si>
  <si>
    <t>Chart 4 Data</t>
  </si>
  <si>
    <t>EBITDA Breakdown</t>
  </si>
  <si>
    <t>Selected Period</t>
  </si>
  <si>
    <t>Total Equity</t>
  </si>
  <si>
    <t>Committed</t>
  </si>
  <si>
    <t>Discretionary</t>
  </si>
  <si>
    <t>Chart 6 Data</t>
  </si>
  <si>
    <t>[Insert Tile 6 Heading]</t>
  </si>
  <si>
    <t>Other Operating Cash Flows</t>
  </si>
  <si>
    <t>Value</t>
  </si>
  <si>
    <t>Change
(+/-)</t>
  </si>
  <si>
    <t>Invisible Column</t>
  </si>
  <si>
    <t>Visible Column</t>
  </si>
  <si>
    <t>Total
Value</t>
  </si>
  <si>
    <t>Operating Cash Flows</t>
  </si>
  <si>
    <t>Graph Inputs</t>
  </si>
  <si>
    <t>Capital Expenditure</t>
  </si>
  <si>
    <t>Liabilities</t>
  </si>
  <si>
    <t>Other Investing Cash Flows</t>
  </si>
  <si>
    <t>Investing Cash Flows</t>
  </si>
  <si>
    <t>Debt Drawdowns/(Repayments)</t>
  </si>
  <si>
    <t>Equity Drawdowns/(Repayments)</t>
  </si>
  <si>
    <t>Equity Dividends Paid</t>
  </si>
  <si>
    <t>Financing Cash Flows</t>
  </si>
  <si>
    <t>Net Increase/(Decrease) in Cash Held</t>
  </si>
  <si>
    <t>Appendices</t>
  </si>
  <si>
    <t>Section 4.</t>
  </si>
  <si>
    <t>Contains checks and lookup tables.</t>
  </si>
  <si>
    <t>Model Imports</t>
  </si>
  <si>
    <t>Sub-Section 4.1.</t>
  </si>
  <si>
    <t>Contains data imported from external workbooks.</t>
  </si>
  <si>
    <t>Model Imports (From BPM-SMA 13-Best Practice Model Example 2)</t>
  </si>
  <si>
    <t>Checks</t>
  </si>
  <si>
    <t>Sub-Section 4.2.</t>
  </si>
  <si>
    <t>Contains error, sensitivity and alert checks.</t>
  </si>
  <si>
    <t>Error Checks</t>
  </si>
  <si>
    <t>Errors Detected - Summary</t>
  </si>
  <si>
    <t>Error Message (Empty if None):</t>
  </si>
  <si>
    <t>Check</t>
  </si>
  <si>
    <t>Include?</t>
  </si>
  <si>
    <t>Flag</t>
  </si>
  <si>
    <t>Total Errors:</t>
  </si>
  <si>
    <t>Sensitivity Checks</t>
  </si>
  <si>
    <t>Sensitivities Detected - Summary</t>
  </si>
  <si>
    <t>Sensitivity Message (Empty if None):</t>
  </si>
  <si>
    <t>Total Sensitivities:</t>
  </si>
  <si>
    <t>Alert Checks</t>
  </si>
  <si>
    <t>Alerts Detected - Summary</t>
  </si>
  <si>
    <t>Alert Message (Empty if None):</t>
  </si>
  <si>
    <t>Total Alerts:</t>
  </si>
  <si>
    <t>Lookup Tables</t>
  </si>
  <si>
    <t>Sub-Section 4.3.</t>
  </si>
  <si>
    <t>Contains model lookup tables.</t>
  </si>
  <si>
    <t>Time Series Lookup Tables</t>
  </si>
  <si>
    <t>Month Days</t>
  </si>
  <si>
    <t>Names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</si>
  <si>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</si>
  <si>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</si>
  <si>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</si>
  <si>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</si>
  <si>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</si>
  <si>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</si>
  <si>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</si>
  <si>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</si>
  <si>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</si>
  <si>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</si>
  <si>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</si>
  <si>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</si>
  <si>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</si>
  <si>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</si>
  <si>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</si>
  <si>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</si>
  <si>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</si>
  <si>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</si>
  <si>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</si>
  <si>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</si>
  <si>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</si>
  <si>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</si>
  <si>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</si>
  <si>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</si>
  <si>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LU_Data_Term_Basis</t>
  </si>
  <si>
    <t>Active Data Periods</t>
  </si>
  <si>
    <t>Projections Start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</si>
  <si>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</si>
  <si>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</si>
  <si>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</si>
  <si>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</si>
  <si>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</si>
  <si>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</si>
  <si>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</si>
  <si>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</si>
  <si>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</si>
  <si>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</si>
  <si>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</si>
  <si>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</si>
  <si>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</si>
  <si>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</si>
  <si>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</si>
  <si>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</si>
  <si>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</si>
  <si>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</si>
  <si>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</si>
  <si>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</si>
  <si>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</si>
  <si>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</si>
  <si>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</si>
  <si>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</si>
  <si>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</si>
  <si>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</si>
  <si>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</si>
  <si>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</si>
  <si>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</si>
  <si>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Capital - Lookup Tables</t>
  </si>
  <si>
    <t>Dividend Method Lookup</t>
  </si>
  <si>
    <t>Names:</t>
  </si>
  <si>
    <t>Dividend Method</t>
  </si>
  <si>
    <t>LU_Eq_Ord_Div_Meth</t>
  </si>
  <si>
    <t>% of NPAT</t>
  </si>
  <si>
    <t>Assume Dividend Amounts</t>
  </si>
  <si>
    <t>Dashboards - Lookup Tables</t>
  </si>
  <si>
    <t>Dashboard Lookup Tables</t>
  </si>
  <si>
    <t>Selected Period Lookup</t>
  </si>
  <si>
    <t>LU_Dashboard_Selected_Period</t>
  </si>
  <si>
    <t xml:space="preserve">  Page  </t>
  </si>
  <si>
    <t>Total Pages:</t>
  </si>
</sst>
</file>

<file path=xl/styles.xml><?xml version="1.0" encoding="utf-8"?>
<styleSheet xmlns="http://schemas.openxmlformats.org/spreadsheetml/2006/main">
  <numFmts count="13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#,##0."/>
    <numFmt numFmtId="172" formatCode="_(#,##0_);\(#,##0\);_(&quot;-&quot;_)"/>
    <numFmt numFmtId="173" formatCode="_(#,##0.00%_);\(#,##0.00%\);_(&quot;-&quot;_)"/>
    <numFmt numFmtId="174" formatCode="_(#,##0._);\(#,##0\);_(&quot;-&quot;_)"/>
    <numFmt numFmtId="175" formatCode="_(#,##0_);\(#,##0\);_-&quot;-&quot;_-"/>
    <numFmt numFmtId="176" formatCode="#,##0.0"/>
  </numFmts>
  <fonts count="69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indexed="6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b/>
      <sz val="9"/>
      <color indexed="60"/>
      <name val="Tahoma"/>
      <family val="2"/>
      <scheme val="major"/>
    </font>
    <font>
      <sz val="8"/>
      <color indexed="18"/>
      <name val="Tahoma"/>
      <family val="2"/>
      <scheme val="minor"/>
    </font>
    <font>
      <sz val="8"/>
      <color indexed="60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sz val="8"/>
      <color indexed="18"/>
      <name val="Arial"/>
      <family val="2"/>
    </font>
    <font>
      <b/>
      <sz val="9"/>
      <color indexed="59"/>
      <name val="Tahoma"/>
      <family val="2"/>
      <scheme val="major"/>
    </font>
    <font>
      <b/>
      <sz val="10"/>
      <color indexed="59"/>
      <name val="Arial"/>
      <family val="2"/>
    </font>
    <font>
      <i/>
      <sz val="8"/>
      <name val="Tahoma"/>
      <family val="2"/>
      <scheme val="major"/>
    </font>
    <font>
      <i/>
      <sz val="8"/>
      <name val="Tahoma"/>
      <family val="2"/>
      <scheme val="minor"/>
    </font>
    <font>
      <b/>
      <sz val="10"/>
      <color indexed="59"/>
      <name val="Tahoma"/>
      <family val="2"/>
      <scheme val="major"/>
    </font>
    <font>
      <b/>
      <sz val="9"/>
      <color indexed="60"/>
      <name val="Arial"/>
      <family val="2"/>
    </font>
    <font>
      <sz val="8"/>
      <color indexed="60"/>
      <name val="Arial"/>
      <family val="2"/>
    </font>
    <font>
      <u/>
      <sz val="8"/>
      <color theme="10"/>
      <name val="Tahoma"/>
      <family val="2"/>
    </font>
    <font>
      <sz val="8"/>
      <color indexed="81"/>
      <name val="Tahoma"/>
      <family val="2"/>
    </font>
    <font>
      <b/>
      <sz val="9"/>
      <color indexed="63"/>
      <name val="Tahoma"/>
      <family val="2"/>
    </font>
    <font>
      <i/>
      <sz val="8"/>
      <name val="Tahoma"/>
      <family val="2"/>
    </font>
    <font>
      <sz val="8"/>
      <color rgb="FFFFFFFF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3"/>
      <name val="Tahoma"/>
      <family val="2"/>
      <scheme val="minor"/>
    </font>
    <font>
      <b/>
      <sz val="12"/>
      <color indexed="8"/>
      <name val="Tahoma"/>
      <family val="2"/>
      <scheme val="major"/>
    </font>
    <font>
      <b/>
      <sz val="8"/>
      <color indexed="8"/>
      <name val="Tahoma"/>
      <family val="2"/>
      <scheme val="minor"/>
    </font>
    <font>
      <sz val="8"/>
      <color indexed="8"/>
      <name val="Tahoma"/>
      <family val="2"/>
      <scheme val="major"/>
    </font>
    <font>
      <sz val="8"/>
      <color indexed="8"/>
      <name val="Tahoma"/>
      <family val="2"/>
      <scheme val="minor"/>
    </font>
    <font>
      <b/>
      <sz val="10"/>
      <color indexed="8"/>
      <name val="Tahoma"/>
      <family val="2"/>
      <scheme val="major"/>
    </font>
    <font>
      <b/>
      <sz val="9"/>
      <color indexed="8"/>
      <name val="Tahoma"/>
      <family val="2"/>
      <scheme val="major"/>
    </font>
    <font>
      <i/>
      <sz val="8"/>
      <color indexed="8"/>
      <name val="Tahoma"/>
      <family val="2"/>
      <scheme val="major"/>
    </font>
    <font>
      <i/>
      <sz val="8"/>
      <color indexed="8"/>
      <name val="Tahoma"/>
      <family val="2"/>
      <scheme val="minor"/>
    </font>
    <font>
      <b/>
      <sz val="8"/>
      <color indexed="8"/>
      <name val="Tahoma"/>
      <family val="2"/>
      <scheme val="major"/>
    </font>
    <font>
      <sz val="8"/>
      <color rgb="FFFFFFFF"/>
      <name val="Tahoma"/>
      <family val="2"/>
      <scheme val="min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6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vertical="center"/>
    </xf>
    <xf numFmtId="0" fontId="12" fillId="0" borderId="0" applyFill="0" applyBorder="0">
      <alignment vertical="center"/>
      <protection locked="0"/>
    </xf>
    <xf numFmtId="0" fontId="13" fillId="0" borderId="1">
      <alignment vertical="center"/>
      <protection locked="0"/>
    </xf>
    <xf numFmtId="164" fontId="13" fillId="0" borderId="1">
      <alignment vertical="center"/>
      <protection locked="0"/>
    </xf>
    <xf numFmtId="165" fontId="13" fillId="0" borderId="1">
      <alignment vertical="center"/>
      <protection locked="0"/>
    </xf>
    <xf numFmtId="166" fontId="13" fillId="0" borderId="1">
      <alignment vertical="center"/>
      <protection locked="0"/>
    </xf>
    <xf numFmtId="167" fontId="13" fillId="0" borderId="1">
      <alignment vertical="center"/>
      <protection locked="0"/>
    </xf>
    <xf numFmtId="168" fontId="13" fillId="0" borderId="1">
      <alignment vertical="center"/>
      <protection locked="0"/>
    </xf>
    <xf numFmtId="169" fontId="13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3" fillId="0" borderId="0" applyFill="0" applyBorder="0">
      <alignment vertical="center"/>
    </xf>
    <xf numFmtId="165" fontId="13" fillId="0" borderId="0" applyFill="0" applyBorder="0">
      <alignment vertical="center"/>
    </xf>
    <xf numFmtId="166" fontId="13" fillId="0" borderId="0" applyFill="0" applyBorder="0">
      <alignment vertical="center"/>
    </xf>
    <xf numFmtId="167" fontId="13" fillId="0" borderId="0" applyFill="0" applyBorder="0">
      <alignment vertical="center"/>
    </xf>
    <xf numFmtId="168" fontId="13" fillId="0" borderId="0" applyFill="0" applyBorder="0">
      <alignment vertical="center"/>
    </xf>
    <xf numFmtId="169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3" applyFill="0">
      <alignment horizontal="center" vertical="center"/>
    </xf>
    <xf numFmtId="170" fontId="13" fillId="0" borderId="3" applyFill="0">
      <alignment horizontal="center" vertical="center"/>
    </xf>
    <xf numFmtId="0" fontId="13" fillId="0" borderId="3" applyFill="0">
      <alignment horizontal="center" vertical="center"/>
    </xf>
    <xf numFmtId="0" fontId="16" fillId="0" borderId="0" applyFill="0" applyBorder="0">
      <alignment vertical="center"/>
    </xf>
    <xf numFmtId="0" fontId="17" fillId="0" borderId="0" applyFill="0" applyBorder="0">
      <alignment horizontal="center" vertical="center"/>
    </xf>
    <xf numFmtId="0" fontId="17" fillId="0" borderId="0" applyFill="0" applyBorder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vertical="center"/>
    </xf>
    <xf numFmtId="0" fontId="20" fillId="0" borderId="0" applyFill="0" applyBorder="0">
      <alignment vertical="center"/>
    </xf>
    <xf numFmtId="0" fontId="20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vertical="center"/>
    </xf>
    <xf numFmtId="0" fontId="12" fillId="0" borderId="0" applyFill="0" applyBorder="0">
      <alignment vertical="center"/>
      <protection locked="0"/>
    </xf>
    <xf numFmtId="166" fontId="13" fillId="0" borderId="0" applyFill="0" applyBorder="0">
      <alignment vertical="center"/>
    </xf>
    <xf numFmtId="167" fontId="13" fillId="0" borderId="0" applyFill="0" applyBorder="0">
      <alignment vertical="center"/>
    </xf>
    <xf numFmtId="168" fontId="13" fillId="0" borderId="0" applyFill="0" applyBorder="0">
      <alignment vertical="center"/>
    </xf>
    <xf numFmtId="169" fontId="13" fillId="0" borderId="0" applyFill="0" applyBorder="0">
      <alignment vertical="center"/>
    </xf>
    <xf numFmtId="164" fontId="13" fillId="0" borderId="0" applyFill="0" applyBorder="0">
      <alignment vertical="center"/>
    </xf>
    <xf numFmtId="165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6" fillId="0" borderId="0" applyFill="0" applyBorder="0">
      <alignment vertical="center"/>
    </xf>
    <xf numFmtId="0" fontId="17" fillId="0" borderId="0" applyFill="0" applyBorder="0">
      <alignment horizontal="center" vertical="center"/>
    </xf>
    <xf numFmtId="0" fontId="17" fillId="0" borderId="0" applyFill="0" applyBorder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vertical="center"/>
    </xf>
    <xf numFmtId="0" fontId="20" fillId="0" borderId="0" applyFill="0" applyBorder="0">
      <alignment vertical="center"/>
    </xf>
    <xf numFmtId="0" fontId="20" fillId="0" borderId="0" applyFill="0" applyBorder="0">
      <alignment vertical="center"/>
    </xf>
    <xf numFmtId="0" fontId="13" fillId="0" borderId="0" applyFill="0" applyBorder="0">
      <alignment vertical="center"/>
    </xf>
    <xf numFmtId="0" fontId="1" fillId="0" borderId="0" applyFill="0" applyBorder="0">
      <alignment vertical="center"/>
    </xf>
    <xf numFmtId="0" fontId="3" fillId="0" borderId="0" applyFill="0" applyBorder="0">
      <alignment vertical="center"/>
    </xf>
    <xf numFmtId="0" fontId="6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" fillId="0" borderId="0" applyFill="0" applyBorder="0">
      <alignment vertical="center"/>
    </xf>
    <xf numFmtId="0" fontId="2" fillId="0" borderId="0" applyFill="0" applyBorder="0">
      <alignment vertical="center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</cellStyleXfs>
  <cellXfs count="289">
    <xf numFmtId="0" fontId="0" fillId="0" borderId="0" xfId="0">
      <alignment vertical="center"/>
    </xf>
    <xf numFmtId="0" fontId="21" fillId="0" borderId="0" xfId="1" applyFont="1">
      <alignment vertical="center"/>
    </xf>
    <xf numFmtId="0" fontId="22" fillId="0" borderId="0" xfId="3" applyFont="1">
      <alignment vertical="center"/>
    </xf>
    <xf numFmtId="0" fontId="23" fillId="0" borderId="0" xfId="6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12" fillId="0" borderId="0" xfId="7" applyFont="1">
      <alignment vertical="center"/>
    </xf>
    <xf numFmtId="0" fontId="7" fillId="0" borderId="0" xfId="3" applyFont="1">
      <alignment vertical="center"/>
    </xf>
    <xf numFmtId="0" fontId="16" fillId="0" borderId="0" xfId="27">
      <alignment vertical="center"/>
    </xf>
    <xf numFmtId="0" fontId="17" fillId="0" borderId="0" xfId="28" applyBorder="1">
      <alignment horizontal="center" vertical="center"/>
    </xf>
    <xf numFmtId="0" fontId="0" fillId="0" borderId="0" xfId="0" applyBorder="1">
      <alignment vertical="center"/>
    </xf>
    <xf numFmtId="0" fontId="20" fillId="0" borderId="0" xfId="33" applyFont="1" applyAlignment="1">
      <alignment horizontal="center" vertical="center"/>
    </xf>
    <xf numFmtId="0" fontId="29" fillId="0" borderId="0" xfId="2" applyFont="1">
      <alignment vertical="center"/>
    </xf>
    <xf numFmtId="0" fontId="17" fillId="0" borderId="0" xfId="28" applyAlignment="1">
      <alignment horizontal="right" vertical="center"/>
    </xf>
    <xf numFmtId="0" fontId="17" fillId="0" borderId="0" xfId="28" applyAlignment="1">
      <alignment horizontal="left" vertical="center"/>
    </xf>
    <xf numFmtId="0" fontId="24" fillId="0" borderId="0" xfId="7" applyFont="1" applyAlignment="1">
      <alignment horizontal="left" vertical="center"/>
    </xf>
    <xf numFmtId="0" fontId="1" fillId="0" borderId="0" xfId="57">
      <alignment vertical="center"/>
    </xf>
    <xf numFmtId="0" fontId="3" fillId="0" borderId="0" xfId="58">
      <alignment vertical="center"/>
    </xf>
    <xf numFmtId="0" fontId="6" fillId="0" borderId="0" xfId="59">
      <alignment vertical="center"/>
    </xf>
    <xf numFmtId="0" fontId="17" fillId="0" borderId="0" xfId="50">
      <alignment horizontal="center" vertical="center"/>
    </xf>
    <xf numFmtId="0" fontId="1" fillId="0" borderId="4" xfId="57" applyBorder="1">
      <alignment vertical="center"/>
    </xf>
    <xf numFmtId="0" fontId="1" fillId="0" borderId="5" xfId="57" applyBorder="1">
      <alignment vertical="center"/>
    </xf>
    <xf numFmtId="0" fontId="1" fillId="0" borderId="6" xfId="57" applyBorder="1">
      <alignment vertical="center"/>
    </xf>
    <xf numFmtId="0" fontId="1" fillId="0" borderId="7" xfId="57" applyBorder="1">
      <alignment vertical="center"/>
    </xf>
    <xf numFmtId="0" fontId="31" fillId="0" borderId="0" xfId="61" applyFont="1" applyBorder="1">
      <alignment vertical="center"/>
    </xf>
    <xf numFmtId="0" fontId="1" fillId="0" borderId="0" xfId="57" applyBorder="1">
      <alignment vertical="center"/>
    </xf>
    <xf numFmtId="0" fontId="1" fillId="0" borderId="8" xfId="57" applyBorder="1">
      <alignment vertical="center"/>
    </xf>
    <xf numFmtId="0" fontId="32" fillId="0" borderId="0" xfId="62" applyFont="1" applyBorder="1" applyAlignment="1">
      <alignment horizontal="center"/>
    </xf>
    <xf numFmtId="0" fontId="32" fillId="0" borderId="0" xfId="57" applyFont="1" applyBorder="1">
      <alignment vertical="center"/>
    </xf>
    <xf numFmtId="0" fontId="32" fillId="0" borderId="0" xfId="62" applyFont="1" applyBorder="1">
      <alignment vertical="center"/>
    </xf>
    <xf numFmtId="0" fontId="1" fillId="0" borderId="9" xfId="57" applyBorder="1">
      <alignment vertical="center"/>
    </xf>
    <xf numFmtId="0" fontId="1" fillId="0" borderId="10" xfId="57" applyBorder="1">
      <alignment vertical="center"/>
    </xf>
    <xf numFmtId="0" fontId="1" fillId="0" borderId="11" xfId="57" applyBorder="1">
      <alignment vertical="center"/>
    </xf>
    <xf numFmtId="0" fontId="1" fillId="0" borderId="0" xfId="57" applyBorder="1" applyAlignment="1">
      <alignment horizontal="center"/>
    </xf>
    <xf numFmtId="0" fontId="33" fillId="0" borderId="13" xfId="57" applyFont="1" applyBorder="1">
      <alignment vertical="center"/>
    </xf>
    <xf numFmtId="0" fontId="33" fillId="0" borderId="14" xfId="57" applyFont="1" applyBorder="1">
      <alignment vertical="center"/>
    </xf>
    <xf numFmtId="0" fontId="33" fillId="0" borderId="15" xfId="57" applyFont="1" applyBorder="1">
      <alignment vertical="center"/>
    </xf>
    <xf numFmtId="0" fontId="33" fillId="0" borderId="16" xfId="57" applyFont="1" applyBorder="1">
      <alignment vertical="center"/>
    </xf>
    <xf numFmtId="0" fontId="34" fillId="0" borderId="0" xfId="61" applyFont="1" applyBorder="1">
      <alignment vertical="center"/>
    </xf>
    <xf numFmtId="0" fontId="33" fillId="0" borderId="0" xfId="57" applyFont="1" applyBorder="1">
      <alignment vertical="center"/>
    </xf>
    <xf numFmtId="0" fontId="33" fillId="0" borderId="17" xfId="57" applyFont="1" applyBorder="1">
      <alignment vertical="center"/>
    </xf>
    <xf numFmtId="0" fontId="33" fillId="0" borderId="0" xfId="62" applyFont="1" applyBorder="1" applyAlignment="1">
      <alignment horizontal="center"/>
    </xf>
    <xf numFmtId="0" fontId="33" fillId="0" borderId="0" xfId="62" applyFont="1" applyBorder="1">
      <alignment vertical="center"/>
    </xf>
    <xf numFmtId="0" fontId="33" fillId="0" borderId="18" xfId="57" applyFont="1" applyBorder="1">
      <alignment vertical="center"/>
    </xf>
    <xf numFmtId="0" fontId="33" fillId="0" borderId="12" xfId="57" applyFont="1" applyBorder="1">
      <alignment vertical="center"/>
    </xf>
    <xf numFmtId="0" fontId="33" fillId="0" borderId="19" xfId="57" applyFont="1" applyBorder="1">
      <alignment vertical="center"/>
    </xf>
    <xf numFmtId="0" fontId="0" fillId="4" borderId="0" xfId="0" applyFill="1">
      <alignment vertical="center"/>
    </xf>
    <xf numFmtId="0" fontId="21" fillId="4" borderId="0" xfId="1" applyFont="1" applyFill="1">
      <alignment vertical="center"/>
    </xf>
    <xf numFmtId="0" fontId="7" fillId="4" borderId="0" xfId="3" applyFont="1" applyFill="1">
      <alignment vertical="center"/>
    </xf>
    <xf numFmtId="0" fontId="17" fillId="4" borderId="0" xfId="28" applyFill="1">
      <alignment horizontal="center" vertical="center"/>
    </xf>
    <xf numFmtId="0" fontId="17" fillId="4" borderId="0" xfId="28" applyFill="1" applyAlignment="1">
      <alignment horizontal="right" vertical="center"/>
    </xf>
    <xf numFmtId="0" fontId="17" fillId="4" borderId="0" xfId="28" applyFill="1" applyAlignment="1">
      <alignment horizontal="left" vertical="center"/>
    </xf>
    <xf numFmtId="0" fontId="17" fillId="4" borderId="0" xfId="29" applyFill="1" applyAlignment="1">
      <alignment horizontal="center" vertical="center"/>
    </xf>
    <xf numFmtId="0" fontId="17" fillId="4" borderId="0" xfId="29" applyFill="1" applyAlignment="1">
      <alignment horizontal="left" vertical="center"/>
    </xf>
    <xf numFmtId="0" fontId="28" fillId="4" borderId="0" xfId="4" applyFont="1" applyFill="1" applyAlignment="1">
      <alignment horizontal="left" vertical="center"/>
    </xf>
    <xf numFmtId="0" fontId="35" fillId="4" borderId="0" xfId="5" applyFont="1" applyFill="1" applyAlignment="1">
      <alignment horizontal="left" vertical="center"/>
    </xf>
    <xf numFmtId="0" fontId="24" fillId="4" borderId="0" xfId="7" applyFont="1" applyFill="1" applyAlignment="1">
      <alignment horizontal="left" vertical="center"/>
    </xf>
    <xf numFmtId="0" fontId="36" fillId="4" borderId="0" xfId="16" applyFont="1" applyFill="1" applyAlignment="1">
      <alignment horizontal="center" vertical="center"/>
      <protection locked="0"/>
    </xf>
    <xf numFmtId="0" fontId="23" fillId="4" borderId="0" xfId="6" applyFont="1" applyFill="1" applyAlignment="1">
      <alignment horizontal="left" vertical="center"/>
    </xf>
    <xf numFmtId="0" fontId="24" fillId="4" borderId="0" xfId="7" quotePrefix="1" applyFont="1" applyFill="1" applyAlignment="1">
      <alignment horizontal="right" vertical="center"/>
    </xf>
    <xf numFmtId="0" fontId="24" fillId="4" borderId="0" xfId="7" quotePrefix="1" applyFont="1" applyFill="1" applyAlignment="1">
      <alignment horizontal="left" vertical="center"/>
    </xf>
    <xf numFmtId="0" fontId="40" fillId="4" borderId="0" xfId="23" applyFont="1" applyFill="1" applyAlignment="1">
      <alignment horizontal="left" vertical="center"/>
    </xf>
    <xf numFmtId="0" fontId="40" fillId="4" borderId="0" xfId="23" applyFont="1" applyFill="1" applyAlignment="1">
      <alignment horizontal="right" vertical="center"/>
    </xf>
    <xf numFmtId="0" fontId="40" fillId="4" borderId="23" xfId="23" applyFont="1" applyFill="1" applyBorder="1" applyAlignment="1">
      <alignment horizontal="left" vertical="center"/>
    </xf>
    <xf numFmtId="0" fontId="0" fillId="4" borderId="23" xfId="0" applyFill="1" applyBorder="1">
      <alignment vertical="center"/>
    </xf>
    <xf numFmtId="0" fontId="40" fillId="4" borderId="23" xfId="23" applyFont="1" applyFill="1" applyBorder="1" applyAlignment="1">
      <alignment horizontal="right" vertical="center"/>
    </xf>
    <xf numFmtId="165" fontId="13" fillId="4" borderId="0" xfId="18" applyFont="1" applyFill="1" applyAlignment="1">
      <alignment horizontal="right" vertical="center"/>
    </xf>
    <xf numFmtId="164" fontId="39" fillId="4" borderId="0" xfId="17" applyFont="1" applyFill="1" applyAlignment="1">
      <alignment horizontal="right" vertical="center"/>
    </xf>
    <xf numFmtId="0" fontId="38" fillId="4" borderId="0" xfId="7" applyFont="1" applyFill="1" applyAlignment="1">
      <alignment horizontal="right" vertical="center"/>
    </xf>
    <xf numFmtId="172" fontId="13" fillId="4" borderId="0" xfId="19" applyNumberFormat="1" applyFont="1" applyFill="1" applyAlignment="1">
      <alignment horizontal="right" vertical="center"/>
    </xf>
    <xf numFmtId="0" fontId="24" fillId="4" borderId="23" xfId="7" applyFont="1" applyFill="1" applyBorder="1" applyAlignment="1">
      <alignment horizontal="left" vertical="center"/>
    </xf>
    <xf numFmtId="166" fontId="39" fillId="4" borderId="23" xfId="19" applyFont="1" applyFill="1" applyBorder="1" applyAlignment="1">
      <alignment horizontal="right" vertical="center"/>
    </xf>
    <xf numFmtId="0" fontId="28" fillId="4" borderId="0" xfId="4" applyFont="1" applyFill="1">
      <alignment vertical="center"/>
    </xf>
    <xf numFmtId="0" fontId="35" fillId="4" borderId="0" xfId="5" applyFont="1" applyFill="1">
      <alignment vertical="center"/>
    </xf>
    <xf numFmtId="0" fontId="41" fillId="4" borderId="0" xfId="6" applyFont="1" applyFill="1">
      <alignment vertical="center"/>
    </xf>
    <xf numFmtId="0" fontId="24" fillId="4" borderId="0" xfId="7" applyFont="1" applyFill="1">
      <alignment vertical="center"/>
    </xf>
    <xf numFmtId="166" fontId="37" fillId="0" borderId="1" xfId="12" applyFont="1">
      <alignment vertical="center"/>
      <protection locked="0"/>
    </xf>
    <xf numFmtId="166" fontId="13" fillId="4" borderId="0" xfId="19" applyFont="1" applyFill="1">
      <alignment vertical="center"/>
    </xf>
    <xf numFmtId="0" fontId="23" fillId="4" borderId="0" xfId="6" applyFont="1" applyFill="1">
      <alignment vertical="center"/>
    </xf>
    <xf numFmtId="166" fontId="14" fillId="4" borderId="24" xfId="19" applyFont="1" applyFill="1" applyBorder="1">
      <alignment vertical="center"/>
    </xf>
    <xf numFmtId="167" fontId="37" fillId="0" borderId="1" xfId="13" applyFont="1">
      <alignment vertical="center"/>
      <protection locked="0"/>
    </xf>
    <xf numFmtId="173" fontId="37" fillId="0" borderId="1" xfId="13" applyNumberFormat="1" applyFont="1">
      <alignment vertical="center"/>
      <protection locked="0"/>
    </xf>
    <xf numFmtId="173" fontId="13" fillId="4" borderId="24" xfId="20" applyNumberFormat="1" applyFont="1" applyFill="1" applyBorder="1">
      <alignment vertical="center"/>
    </xf>
    <xf numFmtId="0" fontId="42" fillId="4" borderId="0" xfId="16" applyFont="1" applyFill="1">
      <alignment horizontal="center" vertical="center"/>
      <protection locked="0"/>
    </xf>
    <xf numFmtId="0" fontId="37" fillId="0" borderId="1" xfId="9" applyFont="1" applyAlignment="1">
      <alignment horizontal="center" vertical="center"/>
      <protection locked="0"/>
    </xf>
    <xf numFmtId="0" fontId="38" fillId="4" borderId="0" xfId="7" applyFont="1" applyFill="1">
      <alignment vertical="center"/>
    </xf>
    <xf numFmtId="174" fontId="37" fillId="4" borderId="0" xfId="19" quotePrefix="1" applyNumberFormat="1" applyFont="1" applyFill="1" applyAlignment="1">
      <alignment horizontal="right" vertical="center"/>
    </xf>
    <xf numFmtId="0" fontId="43" fillId="4" borderId="0" xfId="5" applyFont="1" applyFill="1">
      <alignment vertical="center"/>
    </xf>
    <xf numFmtId="0" fontId="24" fillId="4" borderId="0" xfId="7" applyFont="1" applyFill="1" applyAlignment="1">
      <alignment vertical="center" wrapText="1"/>
    </xf>
    <xf numFmtId="0" fontId="23" fillId="4" borderId="25" xfId="6" applyFont="1" applyFill="1" applyBorder="1" applyAlignment="1">
      <alignment horizontal="right" vertical="center"/>
    </xf>
    <xf numFmtId="166" fontId="37" fillId="0" borderId="26" xfId="12" applyFont="1" applyBorder="1">
      <alignment vertical="center"/>
      <protection locked="0"/>
    </xf>
    <xf numFmtId="0" fontId="17" fillId="0" borderId="0" xfId="28">
      <alignment horizontal="center" vertical="center"/>
    </xf>
    <xf numFmtId="0" fontId="17" fillId="0" borderId="0" xfId="29" applyAlignment="1">
      <alignment horizontal="center" vertical="center"/>
    </xf>
    <xf numFmtId="0" fontId="17" fillId="0" borderId="0" xfId="29" applyAlignment="1">
      <alignment horizontal="lef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0" fontId="40" fillId="0" borderId="23" xfId="23" applyFont="1" applyBorder="1" applyAlignment="1">
      <alignment horizontal="left" vertical="center"/>
    </xf>
    <xf numFmtId="0" fontId="0" fillId="0" borderId="23" xfId="0" applyBorder="1">
      <alignment vertical="center"/>
    </xf>
    <xf numFmtId="0" fontId="40" fillId="0" borderId="23" xfId="23" applyFont="1" applyBorder="1" applyAlignment="1">
      <alignment horizontal="right" vertical="center"/>
    </xf>
    <xf numFmtId="165" fontId="13" fillId="0" borderId="0" xfId="18" applyFont="1" applyAlignment="1">
      <alignment horizontal="right" vertical="center"/>
    </xf>
    <xf numFmtId="164" fontId="39" fillId="0" borderId="0" xfId="17" applyFont="1" applyAlignment="1">
      <alignment horizontal="right" vertical="center"/>
    </xf>
    <xf numFmtId="0" fontId="38" fillId="0" borderId="0" xfId="7" applyFont="1" applyAlignment="1">
      <alignment horizontal="right" vertical="center"/>
    </xf>
    <xf numFmtId="172" fontId="13" fillId="0" borderId="0" xfId="19" applyNumberFormat="1" applyFont="1" applyAlignment="1">
      <alignment horizontal="right" vertical="center"/>
    </xf>
    <xf numFmtId="0" fontId="24" fillId="0" borderId="23" xfId="7" applyFont="1" applyBorder="1" applyAlignment="1">
      <alignment horizontal="left" vertical="center"/>
    </xf>
    <xf numFmtId="166" fontId="39" fillId="0" borderId="23" xfId="19" applyFont="1" applyBorder="1" applyAlignment="1">
      <alignment horizontal="right" vertical="center"/>
    </xf>
    <xf numFmtId="0" fontId="8" fillId="0" borderId="0" xfId="4" applyFont="1">
      <alignment vertical="center"/>
    </xf>
    <xf numFmtId="166" fontId="13" fillId="0" borderId="0" xfId="19" applyFont="1">
      <alignment vertical="center"/>
    </xf>
    <xf numFmtId="0" fontId="23" fillId="0" borderId="0" xfId="6" applyFont="1" applyFill="1">
      <alignment vertical="center"/>
    </xf>
    <xf numFmtId="0" fontId="0" fillId="0" borderId="0" xfId="0" applyFill="1">
      <alignment vertical="center"/>
    </xf>
    <xf numFmtId="174" fontId="37" fillId="0" borderId="0" xfId="19" quotePrefix="1" applyNumberFormat="1" applyFont="1" applyFill="1" applyAlignment="1">
      <alignment horizontal="right" vertical="center"/>
    </xf>
    <xf numFmtId="0" fontId="24" fillId="0" borderId="0" xfId="7" applyFont="1" applyFill="1">
      <alignment vertical="center"/>
    </xf>
    <xf numFmtId="0" fontId="38" fillId="0" borderId="0" xfId="7" applyFont="1" applyFill="1">
      <alignment vertical="center"/>
    </xf>
    <xf numFmtId="0" fontId="44" fillId="0" borderId="0" xfId="0" applyFont="1" applyAlignment="1">
      <alignment horizontal="left" vertical="center"/>
    </xf>
    <xf numFmtId="0" fontId="10" fillId="0" borderId="0" xfId="5" applyFont="1">
      <alignment vertical="center"/>
    </xf>
    <xf numFmtId="0" fontId="12" fillId="0" borderId="0" xfId="7" applyFont="1" applyBorder="1">
      <alignment vertical="center"/>
    </xf>
    <xf numFmtId="166" fontId="13" fillId="0" borderId="0" xfId="19" applyFont="1" applyBorder="1">
      <alignment vertical="center"/>
    </xf>
    <xf numFmtId="0" fontId="45" fillId="0" borderId="0" xfId="7" applyFont="1">
      <alignment vertical="center"/>
    </xf>
    <xf numFmtId="166" fontId="46" fillId="0" borderId="0" xfId="19" applyFont="1" applyBorder="1">
      <alignment vertical="center"/>
    </xf>
    <xf numFmtId="0" fontId="11" fillId="0" borderId="0" xfId="6" applyFont="1">
      <alignment vertical="center"/>
    </xf>
    <xf numFmtId="166" fontId="14" fillId="0" borderId="24" xfId="19" applyFont="1" applyBorder="1">
      <alignment vertical="center"/>
    </xf>
    <xf numFmtId="172" fontId="13" fillId="0" borderId="0" xfId="19" applyNumberFormat="1" applyFont="1">
      <alignment vertical="center"/>
    </xf>
    <xf numFmtId="172" fontId="39" fillId="0" borderId="0" xfId="19" applyNumberFormat="1" applyFont="1">
      <alignment vertical="center"/>
    </xf>
    <xf numFmtId="172" fontId="39" fillId="0" borderId="27" xfId="19" applyNumberFormat="1" applyFont="1" applyBorder="1">
      <alignment vertical="center"/>
    </xf>
    <xf numFmtId="175" fontId="14" fillId="0" borderId="28" xfId="19" applyNumberFormat="1" applyFont="1" applyBorder="1" applyAlignment="1">
      <alignment horizontal="right" vertical="center"/>
    </xf>
    <xf numFmtId="0" fontId="43" fillId="0" borderId="0" xfId="5" applyFont="1">
      <alignment vertical="center"/>
    </xf>
    <xf numFmtId="167" fontId="13" fillId="0" borderId="0" xfId="20" applyFont="1">
      <alignment vertical="center"/>
    </xf>
    <xf numFmtId="0" fontId="28" fillId="0" borderId="0" xfId="4" applyFont="1">
      <alignment vertical="center"/>
    </xf>
    <xf numFmtId="0" fontId="35" fillId="0" borderId="0" xfId="5" applyFont="1">
      <alignment vertical="center"/>
    </xf>
    <xf numFmtId="166" fontId="13" fillId="0" borderId="23" xfId="19" applyFont="1" applyBorder="1">
      <alignment vertical="center"/>
    </xf>
    <xf numFmtId="166" fontId="14" fillId="0" borderId="0" xfId="19" applyFont="1">
      <alignment vertical="center"/>
    </xf>
    <xf numFmtId="173" fontId="13" fillId="0" borderId="0" xfId="20" applyNumberFormat="1" applyFont="1">
      <alignment vertical="center"/>
    </xf>
    <xf numFmtId="173" fontId="13" fillId="0" borderId="24" xfId="20" applyNumberFormat="1" applyFont="1" applyBorder="1">
      <alignment vertical="center"/>
    </xf>
    <xf numFmtId="0" fontId="38" fillId="0" borderId="0" xfId="7" applyFont="1">
      <alignment vertical="center"/>
    </xf>
    <xf numFmtId="172" fontId="13" fillId="0" borderId="0" xfId="19" applyNumberFormat="1" applyFont="1" applyBorder="1">
      <alignment vertical="center"/>
    </xf>
    <xf numFmtId="0" fontId="23" fillId="0" borderId="0" xfId="6" applyFont="1">
      <alignment vertical="center"/>
    </xf>
    <xf numFmtId="0" fontId="12" fillId="0" borderId="0" xfId="7" applyFont="1" applyAlignment="1">
      <alignment horizontal="center" vertical="center"/>
    </xf>
    <xf numFmtId="166" fontId="13" fillId="0" borderId="0" xfId="19" applyFont="1" applyFill="1">
      <alignment vertical="center"/>
    </xf>
    <xf numFmtId="166" fontId="13" fillId="0" borderId="23" xfId="19" applyFont="1" applyFill="1" applyBorder="1">
      <alignment vertical="center"/>
    </xf>
    <xf numFmtId="167" fontId="39" fillId="0" borderId="0" xfId="20" applyFont="1">
      <alignment vertical="center"/>
    </xf>
    <xf numFmtId="166" fontId="39" fillId="0" borderId="27" xfId="19" applyFont="1" applyBorder="1">
      <alignment vertical="center"/>
    </xf>
    <xf numFmtId="166" fontId="39" fillId="0" borderId="29" xfId="19" applyFont="1" applyBorder="1">
      <alignment vertical="center"/>
    </xf>
    <xf numFmtId="166" fontId="14" fillId="0" borderId="30" xfId="19" applyFont="1" applyBorder="1">
      <alignment vertical="center"/>
    </xf>
    <xf numFmtId="166" fontId="14" fillId="0" borderId="31" xfId="19" applyFont="1" applyBorder="1">
      <alignment vertical="center"/>
    </xf>
    <xf numFmtId="0" fontId="47" fillId="0" borderId="0" xfId="4" applyFont="1">
      <alignment vertical="center"/>
    </xf>
    <xf numFmtId="166" fontId="13" fillId="0" borderId="27" xfId="19" applyFont="1" applyBorder="1">
      <alignment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50" fillId="0" borderId="0" xfId="63" applyAlignment="1" applyProtection="1">
      <alignment vertical="center"/>
    </xf>
    <xf numFmtId="0" fontId="41" fillId="0" borderId="0" xfId="6" applyFont="1">
      <alignment vertical="center"/>
    </xf>
    <xf numFmtId="166" fontId="37" fillId="0" borderId="0" xfId="19" applyFont="1" applyFill="1">
      <alignment vertical="center"/>
    </xf>
    <xf numFmtId="166" fontId="13" fillId="0" borderId="27" xfId="19" applyFont="1" applyFill="1" applyBorder="1">
      <alignment vertical="center"/>
    </xf>
    <xf numFmtId="176" fontId="0" fillId="0" borderId="0" xfId="0" applyNumberFormat="1">
      <alignment vertical="center"/>
    </xf>
    <xf numFmtId="172" fontId="39" fillId="0" borderId="0" xfId="19" applyNumberFormat="1" applyFont="1" applyBorder="1">
      <alignment vertical="center"/>
    </xf>
    <xf numFmtId="0" fontId="15" fillId="0" borderId="0" xfId="60">
      <alignment vertical="center"/>
    </xf>
    <xf numFmtId="0" fontId="14" fillId="0" borderId="23" xfId="23" applyFont="1" applyFill="1" applyBorder="1">
      <alignment vertical="center"/>
    </xf>
    <xf numFmtId="0" fontId="2" fillId="0" borderId="23" xfId="65" applyBorder="1">
      <alignment vertical="center"/>
    </xf>
    <xf numFmtId="0" fontId="14" fillId="0" borderId="23" xfId="23" applyFont="1" applyBorder="1" applyAlignment="1">
      <alignment horizontal="right" vertical="center"/>
    </xf>
    <xf numFmtId="0" fontId="1" fillId="0" borderId="0" xfId="57" applyFill="1">
      <alignment vertical="center"/>
    </xf>
    <xf numFmtId="0" fontId="1" fillId="0" borderId="0" xfId="57" applyFill="1" applyBorder="1">
      <alignment vertical="center"/>
    </xf>
    <xf numFmtId="0" fontId="14" fillId="0" borderId="0" xfId="23" applyFont="1" applyFill="1">
      <alignment vertical="center"/>
    </xf>
    <xf numFmtId="0" fontId="14" fillId="0" borderId="0" xfId="23" applyFont="1" applyFill="1" applyAlignment="1">
      <alignment horizontal="right" vertical="center"/>
    </xf>
    <xf numFmtId="0" fontId="1" fillId="0" borderId="0" xfId="62" applyFill="1">
      <alignment vertical="center"/>
    </xf>
    <xf numFmtId="166" fontId="1" fillId="0" borderId="0" xfId="66" applyFill="1">
      <alignment vertical="center"/>
    </xf>
    <xf numFmtId="0" fontId="1" fillId="0" borderId="0" xfId="62">
      <alignment vertical="center"/>
    </xf>
    <xf numFmtId="0" fontId="2" fillId="0" borderId="0" xfId="61">
      <alignment vertical="center"/>
    </xf>
    <xf numFmtId="166" fontId="2" fillId="0" borderId="24" xfId="66" applyFont="1" applyFill="1" applyBorder="1">
      <alignment vertical="center"/>
    </xf>
    <xf numFmtId="0" fontId="11" fillId="0" borderId="0" xfId="6" applyFont="1" applyFill="1">
      <alignment vertical="center"/>
    </xf>
    <xf numFmtId="166" fontId="2" fillId="0" borderId="31" xfId="66" applyFont="1" applyFill="1" applyBorder="1">
      <alignment vertical="center"/>
    </xf>
    <xf numFmtId="0" fontId="53" fillId="0" borderId="0" xfId="62" applyFont="1" applyFill="1">
      <alignment vertical="center"/>
    </xf>
    <xf numFmtId="167" fontId="53" fillId="0" borderId="0" xfId="67" applyFont="1" applyFill="1" applyAlignment="1">
      <alignment horizontal="right" vertical="center"/>
    </xf>
    <xf numFmtId="0" fontId="2" fillId="0" borderId="0" xfId="61" applyFill="1">
      <alignment vertical="center"/>
    </xf>
    <xf numFmtId="166" fontId="2" fillId="0" borderId="30" xfId="66" applyFont="1" applyFill="1" applyBorder="1">
      <alignment vertical="center"/>
    </xf>
    <xf numFmtId="0" fontId="54" fillId="0" borderId="3" xfId="16" applyFont="1" applyBorder="1" applyAlignment="1">
      <alignment horizontal="center" vertical="center"/>
      <protection locked="0"/>
    </xf>
    <xf numFmtId="167" fontId="37" fillId="0" borderId="0" xfId="20" applyFont="1">
      <alignment vertical="center"/>
    </xf>
    <xf numFmtId="166" fontId="37" fillId="0" borderId="41" xfId="19" applyFont="1" applyBorder="1">
      <alignment vertical="center"/>
    </xf>
    <xf numFmtId="166" fontId="13" fillId="0" borderId="42" xfId="19" applyFont="1" applyBorder="1">
      <alignment vertical="center"/>
    </xf>
    <xf numFmtId="166" fontId="13" fillId="0" borderId="43" xfId="19" applyFont="1" applyBorder="1">
      <alignment vertical="center"/>
    </xf>
    <xf numFmtId="166" fontId="55" fillId="0" borderId="0" xfId="19" applyFont="1">
      <alignment vertical="center"/>
    </xf>
    <xf numFmtId="0" fontId="56" fillId="0" borderId="0" xfId="0" applyFont="1" applyFill="1">
      <alignment vertical="center"/>
    </xf>
    <xf numFmtId="0" fontId="21" fillId="0" borderId="0" xfId="1" applyFont="1" applyFill="1">
      <alignment vertical="center"/>
    </xf>
    <xf numFmtId="0" fontId="57" fillId="0" borderId="0" xfId="3" applyFont="1" applyFill="1">
      <alignment vertical="center"/>
    </xf>
    <xf numFmtId="0" fontId="17" fillId="0" borderId="0" xfId="28" applyFill="1">
      <alignment horizontal="center" vertical="center"/>
    </xf>
    <xf numFmtId="0" fontId="17" fillId="0" borderId="0" xfId="28" applyFill="1" applyAlignment="1">
      <alignment horizontal="right" vertical="center"/>
    </xf>
    <xf numFmtId="0" fontId="17" fillId="0" borderId="0" xfId="28" applyFill="1" applyAlignment="1">
      <alignment horizontal="left" vertical="center"/>
    </xf>
    <xf numFmtId="0" fontId="17" fillId="0" borderId="0" xfId="29" applyFill="1" applyAlignment="1">
      <alignment horizontal="center" vertical="center"/>
    </xf>
    <xf numFmtId="0" fontId="58" fillId="0" borderId="0" xfId="23" applyFont="1" applyFill="1" applyAlignment="1">
      <alignment horizontal="left" vertical="center"/>
    </xf>
    <xf numFmtId="0" fontId="58" fillId="0" borderId="0" xfId="23" applyFont="1" applyFill="1" applyAlignment="1">
      <alignment horizontal="right" vertical="center"/>
    </xf>
    <xf numFmtId="0" fontId="58" fillId="0" borderId="23" xfId="23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0" fontId="58" fillId="0" borderId="23" xfId="23" applyFont="1" applyFill="1" applyBorder="1" applyAlignment="1">
      <alignment horizontal="right" vertical="center"/>
    </xf>
    <xf numFmtId="0" fontId="59" fillId="0" borderId="0" xfId="7" applyFont="1" applyFill="1" applyAlignment="1">
      <alignment horizontal="left" vertical="center"/>
    </xf>
    <xf numFmtId="165" fontId="60" fillId="0" borderId="0" xfId="18" applyFont="1" applyFill="1" applyAlignment="1">
      <alignment horizontal="right" vertical="center"/>
    </xf>
    <xf numFmtId="164" fontId="60" fillId="0" borderId="0" xfId="17" applyFont="1" applyFill="1" applyAlignment="1">
      <alignment horizontal="right" vertical="center"/>
    </xf>
    <xf numFmtId="0" fontId="59" fillId="0" borderId="0" xfId="7" applyFont="1" applyFill="1" applyAlignment="1">
      <alignment horizontal="right" vertical="center"/>
    </xf>
    <xf numFmtId="172" fontId="60" fillId="0" borderId="0" xfId="19" applyNumberFormat="1" applyFont="1" applyFill="1" applyAlignment="1">
      <alignment horizontal="right" vertical="center"/>
    </xf>
    <xf numFmtId="0" fontId="59" fillId="0" borderId="23" xfId="7" applyFont="1" applyFill="1" applyBorder="1" applyAlignment="1">
      <alignment horizontal="left" vertical="center"/>
    </xf>
    <xf numFmtId="166" fontId="60" fillId="0" borderId="23" xfId="19" applyFont="1" applyFill="1" applyBorder="1" applyAlignment="1">
      <alignment horizontal="right" vertical="center"/>
    </xf>
    <xf numFmtId="0" fontId="61" fillId="0" borderId="0" xfId="4" applyFont="1" applyFill="1">
      <alignment vertical="center"/>
    </xf>
    <xf numFmtId="0" fontId="59" fillId="0" borderId="0" xfId="7" applyFont="1" applyFill="1">
      <alignment vertical="center"/>
    </xf>
    <xf numFmtId="166" fontId="60" fillId="0" borderId="0" xfId="19" applyFont="1" applyFill="1">
      <alignment vertical="center"/>
    </xf>
    <xf numFmtId="0" fontId="12" fillId="0" borderId="0" xfId="7" applyFont="1" applyFill="1">
      <alignment vertical="center"/>
    </xf>
    <xf numFmtId="0" fontId="44" fillId="0" borderId="0" xfId="0" applyFont="1" applyFill="1" applyAlignment="1">
      <alignment horizontal="left" vertical="center"/>
    </xf>
    <xf numFmtId="0" fontId="62" fillId="0" borderId="0" xfId="5" applyFont="1" applyFill="1">
      <alignment vertical="center"/>
    </xf>
    <xf numFmtId="0" fontId="0" fillId="0" borderId="0" xfId="0" applyFill="1" applyBorder="1">
      <alignment vertical="center"/>
    </xf>
    <xf numFmtId="0" fontId="59" fillId="0" borderId="0" xfId="7" applyFont="1" applyFill="1" applyBorder="1">
      <alignment vertical="center"/>
    </xf>
    <xf numFmtId="166" fontId="60" fillId="0" borderId="0" xfId="19" applyFont="1" applyFill="1" applyBorder="1">
      <alignment vertical="center"/>
    </xf>
    <xf numFmtId="0" fontId="63" fillId="0" borderId="0" xfId="7" applyFont="1" applyFill="1">
      <alignment vertical="center"/>
    </xf>
    <xf numFmtId="166" fontId="64" fillId="0" borderId="0" xfId="19" applyFont="1" applyFill="1" applyBorder="1">
      <alignment vertical="center"/>
    </xf>
    <xf numFmtId="0" fontId="65" fillId="0" borderId="0" xfId="6" applyFont="1" applyFill="1">
      <alignment vertical="center"/>
    </xf>
    <xf numFmtId="166" fontId="58" fillId="0" borderId="24" xfId="19" applyFont="1" applyFill="1" applyBorder="1">
      <alignment vertical="center"/>
    </xf>
    <xf numFmtId="0" fontId="43" fillId="0" borderId="0" xfId="5" applyFont="1" applyFill="1">
      <alignment vertical="center"/>
    </xf>
    <xf numFmtId="167" fontId="60" fillId="0" borderId="0" xfId="20" applyFont="1" applyFill="1">
      <alignment vertical="center"/>
    </xf>
    <xf numFmtId="0" fontId="28" fillId="0" borderId="0" xfId="4" applyFont="1" applyAlignment="1">
      <alignment horizontal="left" vertical="center"/>
    </xf>
    <xf numFmtId="0" fontId="66" fillId="0" borderId="0" xfId="16" applyFont="1" applyAlignment="1">
      <alignment horizontal="center" vertical="center"/>
      <protection locked="0"/>
    </xf>
    <xf numFmtId="0" fontId="35" fillId="0" borderId="0" xfId="5" applyFont="1" applyAlignment="1">
      <alignment horizontal="left" vertical="center"/>
    </xf>
    <xf numFmtId="0" fontId="11" fillId="0" borderId="0" xfId="6" applyFont="1" applyAlignment="1">
      <alignment horizontal="left" vertical="center"/>
    </xf>
    <xf numFmtId="172" fontId="14" fillId="0" borderId="2" xfId="19" applyNumberFormat="1" applyFont="1" applyBorder="1" applyAlignment="1">
      <alignment horizontal="center" vertical="center"/>
    </xf>
    <xf numFmtId="172" fontId="23" fillId="0" borderId="0" xfId="6" applyNumberFormat="1" applyFont="1" applyAlignment="1">
      <alignment horizontal="left" vertical="center"/>
    </xf>
    <xf numFmtId="172" fontId="41" fillId="0" borderId="44" xfId="7" applyNumberFormat="1" applyFont="1" applyBorder="1" applyAlignment="1">
      <alignment horizontal="left" vertical="center"/>
    </xf>
    <xf numFmtId="0" fontId="23" fillId="0" borderId="23" xfId="6" applyFont="1" applyBorder="1" applyAlignment="1">
      <alignment horizontal="left" vertical="center"/>
    </xf>
    <xf numFmtId="0" fontId="23" fillId="0" borderId="23" xfId="6" applyFont="1" applyBorder="1" applyAlignment="1">
      <alignment horizontal="center" vertical="center"/>
    </xf>
    <xf numFmtId="0" fontId="23" fillId="0" borderId="0" xfId="6" applyFont="1" applyBorder="1" applyAlignment="1">
      <alignment horizontal="left" vertical="center"/>
    </xf>
    <xf numFmtId="0" fontId="23" fillId="0" borderId="0" xfId="6" applyFont="1" applyBorder="1" applyAlignment="1">
      <alignment horizontal="center" vertical="center"/>
    </xf>
    <xf numFmtId="172" fontId="13" fillId="0" borderId="0" xfId="19" applyNumberFormat="1" applyFont="1" applyAlignment="1">
      <alignment horizontal="center" vertical="center"/>
    </xf>
    <xf numFmtId="0" fontId="37" fillId="0" borderId="0" xfId="16" applyFont="1" applyAlignment="1">
      <alignment horizontal="center" vertical="center"/>
      <protection locked="0"/>
    </xf>
    <xf numFmtId="172" fontId="39" fillId="0" borderId="0" xfId="19" applyNumberFormat="1" applyFont="1" applyAlignment="1">
      <alignment horizontal="center" vertical="center"/>
    </xf>
    <xf numFmtId="172" fontId="40" fillId="0" borderId="3" xfId="19" applyNumberFormat="1" applyFont="1" applyBorder="1" applyAlignment="1">
      <alignment horizontal="center" vertical="center"/>
    </xf>
    <xf numFmtId="0" fontId="55" fillId="0" borderId="3" xfId="24" applyFont="1" applyAlignment="1">
      <alignment horizontal="center" vertical="center"/>
    </xf>
    <xf numFmtId="172" fontId="37" fillId="0" borderId="3" xfId="25" applyNumberFormat="1" applyFont="1" applyAlignment="1">
      <alignment horizontal="center" vertical="center"/>
    </xf>
    <xf numFmtId="172" fontId="13" fillId="0" borderId="3" xfId="25" applyNumberFormat="1" applyFont="1" applyAlignment="1">
      <alignment horizontal="center" vertical="center"/>
    </xf>
    <xf numFmtId="0" fontId="37" fillId="0" borderId="3" xfId="26" applyFont="1" applyAlignment="1">
      <alignment horizontal="center" vertical="center"/>
    </xf>
    <xf numFmtId="0" fontId="55" fillId="0" borderId="3" xfId="24" applyFont="1">
      <alignment horizontal="center" vertical="center"/>
    </xf>
    <xf numFmtId="0" fontId="37" fillId="0" borderId="3" xfId="26" applyFont="1">
      <alignment horizontal="center" vertical="center"/>
    </xf>
    <xf numFmtId="0" fontId="13" fillId="0" borderId="3" xfId="26" applyFont="1" applyAlignment="1">
      <alignment horizontal="center" vertical="center"/>
    </xf>
    <xf numFmtId="0" fontId="28" fillId="0" borderId="23" xfId="4" applyFont="1" applyBorder="1" applyAlignment="1">
      <alignment horizontal="left" vertical="center"/>
    </xf>
    <xf numFmtId="0" fontId="28" fillId="0" borderId="23" xfId="4" applyFont="1" applyBorder="1" applyAlignment="1">
      <alignment horizontal="center" vertical="center"/>
    </xf>
    <xf numFmtId="172" fontId="67" fillId="0" borderId="0" xfId="30" applyNumberFormat="1" applyFont="1" applyAlignment="1">
      <alignment horizontal="center" vertical="center"/>
    </xf>
    <xf numFmtId="172" fontId="68" fillId="0" borderId="0" xfId="31" applyNumberFormat="1" applyFont="1" applyAlignment="1">
      <alignment horizontal="center" vertical="center"/>
    </xf>
    <xf numFmtId="172" fontId="20" fillId="0" borderId="0" xfId="32" applyNumberFormat="1" applyFont="1" applyAlignment="1">
      <alignment horizontal="center" vertical="center"/>
    </xf>
    <xf numFmtId="172" fontId="20" fillId="0" borderId="0" xfId="32" quotePrefix="1" applyNumberFormat="1" applyFont="1" applyAlignment="1">
      <alignment horizontal="center" vertical="center"/>
    </xf>
    <xf numFmtId="172" fontId="23" fillId="0" borderId="24" xfId="7" applyNumberFormat="1" applyFont="1" applyBorder="1" applyAlignment="1">
      <alignment horizontal="center" vertical="center"/>
    </xf>
    <xf numFmtId="0" fontId="16" fillId="0" borderId="0" xfId="27">
      <alignment vertical="center"/>
    </xf>
    <xf numFmtId="0" fontId="19" fillId="0" borderId="0" xfId="31">
      <alignment vertical="center"/>
    </xf>
    <xf numFmtId="0" fontId="20" fillId="0" borderId="0" xfId="32" quotePrefix="1" applyAlignment="1">
      <alignment horizontal="right" vertical="center"/>
    </xf>
    <xf numFmtId="0" fontId="20" fillId="0" borderId="0" xfId="32">
      <alignment vertical="center"/>
    </xf>
    <xf numFmtId="0" fontId="20" fillId="0" borderId="0" xfId="33">
      <alignment vertical="center"/>
    </xf>
    <xf numFmtId="0" fontId="19" fillId="0" borderId="0" xfId="31" applyAlignment="1">
      <alignment horizontal="right" vertical="center"/>
    </xf>
    <xf numFmtId="0" fontId="20" fillId="0" borderId="0" xfId="32" quotePrefix="1">
      <alignment vertical="center"/>
    </xf>
    <xf numFmtId="171" fontId="18" fillId="0" borderId="0" xfId="30" applyNumberFormat="1" applyAlignment="1">
      <alignment horizontal="right" vertical="center"/>
    </xf>
    <xf numFmtId="0" fontId="18" fillId="0" borderId="0" xfId="30">
      <alignment vertical="center"/>
    </xf>
    <xf numFmtId="0" fontId="30" fillId="2" borderId="0" xfId="61" applyFont="1" applyFill="1" applyAlignment="1">
      <alignment horizontal="center" vertical="center"/>
    </xf>
    <xf numFmtId="0" fontId="32" fillId="0" borderId="0" xfId="57" applyFont="1" applyBorder="1" applyAlignment="1">
      <alignment vertical="center" wrapText="1"/>
    </xf>
    <xf numFmtId="0" fontId="30" fillId="3" borderId="0" xfId="61" applyFont="1" applyFill="1" applyBorder="1" applyAlignment="1">
      <alignment horizontal="center" vertical="center"/>
    </xf>
    <xf numFmtId="0" fontId="30" fillId="3" borderId="12" xfId="61" applyFont="1" applyFill="1" applyBorder="1" applyAlignment="1">
      <alignment horizontal="center" vertical="center"/>
    </xf>
    <xf numFmtId="0" fontId="33" fillId="0" borderId="0" xfId="57" applyFont="1" applyBorder="1" applyAlignment="1">
      <alignment vertical="center" wrapText="1"/>
    </xf>
    <xf numFmtId="0" fontId="16" fillId="0" borderId="0" xfId="49">
      <alignment vertical="center"/>
    </xf>
    <xf numFmtId="0" fontId="17" fillId="0" borderId="0" xfId="50" applyAlignment="1">
      <alignment horizontal="right" vertical="center"/>
    </xf>
    <xf numFmtId="0" fontId="17" fillId="0" borderId="0" xfId="50" applyAlignment="1">
      <alignment horizontal="left" vertical="center"/>
    </xf>
    <xf numFmtId="0" fontId="17" fillId="0" borderId="0" xfId="29" applyAlignment="1">
      <alignment horizontal="center" vertical="center"/>
    </xf>
    <xf numFmtId="165" fontId="13" fillId="4" borderId="0" xfId="18" applyFont="1" applyFill="1" applyAlignment="1">
      <alignment horizontal="center" vertical="center"/>
    </xf>
    <xf numFmtId="172" fontId="37" fillId="0" borderId="20" xfId="12" applyNumberFormat="1" applyFont="1" applyBorder="1" applyAlignment="1">
      <alignment horizontal="center" vertical="center"/>
      <protection locked="0"/>
    </xf>
    <xf numFmtId="172" fontId="37" fillId="0" borderId="21" xfId="12" applyNumberFormat="1" applyFont="1" applyBorder="1" applyAlignment="1">
      <alignment horizontal="center" vertical="center"/>
      <protection locked="0"/>
    </xf>
    <xf numFmtId="165" fontId="37" fillId="0" borderId="20" xfId="11" applyFont="1" applyBorder="1" applyAlignment="1">
      <alignment horizontal="center" vertical="center"/>
      <protection locked="0"/>
    </xf>
    <xf numFmtId="165" fontId="37" fillId="0" borderId="21" xfId="11" applyFont="1" applyBorder="1" applyAlignment="1">
      <alignment horizontal="center" vertical="center"/>
      <protection locked="0"/>
    </xf>
    <xf numFmtId="172" fontId="39" fillId="4" borderId="0" xfId="19" applyNumberFormat="1" applyFont="1" applyFill="1" applyAlignment="1">
      <alignment horizontal="center" vertical="center"/>
    </xf>
    <xf numFmtId="172" fontId="13" fillId="4" borderId="0" xfId="19" applyNumberFormat="1" applyFont="1" applyFill="1" applyAlignment="1">
      <alignment horizontal="center" vertical="center"/>
    </xf>
    <xf numFmtId="0" fontId="12" fillId="4" borderId="0" xfId="7" applyFont="1" applyFill="1" applyAlignment="1">
      <alignment horizontal="center" vertical="center"/>
    </xf>
    <xf numFmtId="0" fontId="36" fillId="4" borderId="0" xfId="16" applyFont="1" applyFill="1" applyAlignment="1">
      <alignment horizontal="center" vertical="center"/>
      <protection locked="0"/>
    </xf>
    <xf numFmtId="0" fontId="37" fillId="4" borderId="0" xfId="16" applyFont="1" applyFill="1" applyAlignment="1">
      <alignment horizontal="center" vertical="center"/>
      <protection locked="0"/>
    </xf>
    <xf numFmtId="0" fontId="37" fillId="0" borderId="20" xfId="9" applyFont="1" applyBorder="1" applyAlignment="1">
      <alignment horizontal="center" vertical="center"/>
      <protection locked="0"/>
    </xf>
    <xf numFmtId="0" fontId="37" fillId="0" borderId="21" xfId="9" applyFont="1" applyBorder="1" applyAlignment="1">
      <alignment horizontal="center" vertical="center"/>
      <protection locked="0"/>
    </xf>
    <xf numFmtId="0" fontId="16" fillId="4" borderId="0" xfId="27" applyFill="1">
      <alignment vertical="center"/>
    </xf>
    <xf numFmtId="0" fontId="24" fillId="4" borderId="0" xfId="7" applyFont="1" applyFill="1" applyAlignment="1">
      <alignment horizontal="center" vertical="center"/>
    </xf>
    <xf numFmtId="172" fontId="37" fillId="4" borderId="22" xfId="19" applyNumberFormat="1" applyFont="1" applyFill="1" applyBorder="1" applyAlignment="1">
      <alignment horizontal="center" vertical="center"/>
    </xf>
    <xf numFmtId="0" fontId="38" fillId="4" borderId="0" xfId="7" applyFont="1" applyFill="1" applyAlignment="1">
      <alignment horizontal="center" vertical="center"/>
    </xf>
    <xf numFmtId="0" fontId="24" fillId="4" borderId="0" xfId="7" applyFont="1" applyFill="1" applyAlignment="1">
      <alignment vertical="center" wrapText="1"/>
    </xf>
    <xf numFmtId="0" fontId="23" fillId="0" borderId="0" xfId="6" applyFont="1" applyBorder="1" applyAlignment="1">
      <alignment horizontal="center" vertical="center" wrapText="1"/>
    </xf>
    <xf numFmtId="0" fontId="23" fillId="0" borderId="23" xfId="6" applyFont="1" applyBorder="1" applyAlignment="1">
      <alignment horizontal="center" vertical="center" wrapText="1"/>
    </xf>
    <xf numFmtId="0" fontId="52" fillId="0" borderId="0" xfId="64" applyFont="1" applyFill="1" applyBorder="1" applyAlignment="1">
      <alignment horizontal="center" vertical="center"/>
    </xf>
    <xf numFmtId="0" fontId="52" fillId="5" borderId="32" xfId="64" applyFont="1" applyFill="1" applyBorder="1" applyAlignment="1">
      <alignment horizontal="center" vertical="center"/>
    </xf>
    <xf numFmtId="0" fontId="52" fillId="5" borderId="33" xfId="64" applyFont="1" applyFill="1" applyBorder="1" applyAlignment="1">
      <alignment horizontal="center" vertical="center"/>
    </xf>
    <xf numFmtId="0" fontId="52" fillId="5" borderId="34" xfId="64" applyFont="1" applyFill="1" applyBorder="1" applyAlignment="1">
      <alignment horizontal="center" vertical="center"/>
    </xf>
    <xf numFmtId="0" fontId="52" fillId="3" borderId="35" xfId="64" applyFont="1" applyFill="1" applyBorder="1" applyAlignment="1">
      <alignment horizontal="center" vertical="center"/>
    </xf>
    <xf numFmtId="0" fontId="52" fillId="3" borderId="36" xfId="64" applyFont="1" applyFill="1" applyBorder="1" applyAlignment="1">
      <alignment horizontal="center" vertical="center"/>
    </xf>
    <xf numFmtId="0" fontId="52" fillId="3" borderId="37" xfId="64" applyFont="1" applyFill="1" applyBorder="1" applyAlignment="1">
      <alignment horizontal="center" vertical="center"/>
    </xf>
    <xf numFmtId="0" fontId="52" fillId="6" borderId="38" xfId="64" applyFont="1" applyFill="1" applyBorder="1" applyAlignment="1">
      <alignment horizontal="center" vertical="center"/>
    </xf>
    <xf numFmtId="0" fontId="52" fillId="6" borderId="39" xfId="64" applyFont="1" applyFill="1" applyBorder="1" applyAlignment="1">
      <alignment horizontal="center" vertical="center"/>
    </xf>
    <xf numFmtId="0" fontId="52" fillId="6" borderId="40" xfId="64" applyFont="1" applyFill="1" applyBorder="1" applyAlignment="1">
      <alignment horizontal="center" vertical="center"/>
    </xf>
    <xf numFmtId="0" fontId="16" fillId="0" borderId="0" xfId="27" applyFill="1">
      <alignment vertical="center"/>
    </xf>
  </cellXfs>
  <cellStyles count="6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63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2. 2" xfId="64"/>
    <cellStyle name="Presentation Heading 3." xfId="39"/>
    <cellStyle name="Presentation Heading 3. 2" xfId="61"/>
    <cellStyle name="Presentation Heading 4." xfId="40"/>
    <cellStyle name="Presentation Heading 4. 2" xfId="62"/>
    <cellStyle name="Presentation Hyperlink Arrow." xfId="50"/>
    <cellStyle name="Presentation Hyperlink Check." xfId="51"/>
    <cellStyle name="Presentation Hyperlink Text." xfId="49"/>
    <cellStyle name="Presentation Hyperlink Text. 2" xfId="60"/>
    <cellStyle name="Presentation Model Name." xfId="36"/>
    <cellStyle name="Presentation Model Name. 2" xfId="59"/>
    <cellStyle name="Presentation Multiple." xfId="44"/>
    <cellStyle name="Presentation Normal." xfId="56"/>
    <cellStyle name="Presentation Normal. 2" xfId="57"/>
    <cellStyle name="Presentation Number." xfId="42"/>
    <cellStyle name="Presentation Number. 2" xfId="66"/>
    <cellStyle name="Presentation Percentage." xfId="43"/>
    <cellStyle name="Presentation Percentage. 2" xfId="67"/>
    <cellStyle name="Presentation Period Title." xfId="48"/>
    <cellStyle name="Presentation Period Title. 2" xfId="65"/>
    <cellStyle name="Presentation Section Number." xfId="35"/>
    <cellStyle name="Presentation Sheet Title." xfId="34"/>
    <cellStyle name="Presentation Sheet Title. 2" xfId="58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64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/>
        <i val="0"/>
        <condense val="0"/>
        <extend val="0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BS_Sum_P_MS!$AU$11</c:f>
          <c:strCache>
            <c:ptCount val="1"/>
            <c:pt idx="0">
              <c:v>Revenue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33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chemeClr val="accent1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BS_Sum_P_MS!$AX$13:$BE$13</c:f>
              <c:numCache>
                <c:formatCode>_(#,##0_);\(#,##0\);_("-"_)</c:formatCode>
                <c:ptCount val="8"/>
                <c:pt idx="0">
                  <c:v>125</c:v>
                </c:pt>
                <c:pt idx="1">
                  <c:v>128.125</c:v>
                </c:pt>
                <c:pt idx="2">
                  <c:v>131.328125</c:v>
                </c:pt>
                <c:pt idx="3">
                  <c:v>134.611328125</c:v>
                </c:pt>
                <c:pt idx="4">
                  <c:v>137.97661132812499</c:v>
                </c:pt>
                <c:pt idx="5">
                  <c:v>141.4260266113281</c:v>
                </c:pt>
                <c:pt idx="6">
                  <c:v>144.96167727661128</c:v>
                </c:pt>
                <c:pt idx="7">
                  <c:v>148.58571920852654</c:v>
                </c:pt>
              </c:numCache>
            </c:numRef>
          </c:val>
        </c:ser>
        <c:overlap val="100"/>
        <c:axId val="295041664"/>
        <c:axId val="295051648"/>
      </c:barChart>
      <c:catAx>
        <c:axId val="295041664"/>
        <c:scaling>
          <c:orientation val="minMax"/>
        </c:scaling>
        <c:axPos val="b"/>
        <c:numFmt formatCode="General" sourceLinked="1"/>
        <c:tickLblPos val="nextTo"/>
        <c:crossAx val="295051648"/>
        <c:crosses val="autoZero"/>
        <c:auto val="1"/>
        <c:lblAlgn val="ctr"/>
        <c:lblOffset val="100"/>
      </c:catAx>
      <c:valAx>
        <c:axId val="295051648"/>
        <c:scaling>
          <c:orientation val="minMax"/>
        </c:scaling>
        <c:axPos val="l"/>
        <c:numFmt formatCode="_(#,##0_);\(#,##0\);_(&quot;-&quot;_)" sourceLinked="1"/>
        <c:tickLblPos val="nextTo"/>
        <c:crossAx val="295041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065392188222289"/>
          <c:y val="0.12310185185185245"/>
          <c:w val="0.41520106770631565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BS_Sum_P_MS!$AU$38</c:f>
          <c:strCache>
            <c:ptCount val="1"/>
            <c:pt idx="0">
              <c:v>Operating Expenditure - Committed vs. Discretionary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spPr>
            <a:solidFill>
              <a:srgbClr val="9BBB59"/>
            </a:solidFill>
          </c:spPr>
          <c:dPt>
            <c:idx val="1"/>
            <c:spPr>
              <a:solidFill>
                <a:srgbClr val="9BBB59">
                  <a:alpha val="50000"/>
                </a:srgbClr>
              </a:solidFill>
              <a:ln>
                <a:solidFill>
                  <a:schemeClr val="accent3"/>
                </a:solidFill>
              </a:ln>
            </c:spPr>
          </c:dPt>
          <c:cat>
            <c:strRef>
              <c:f>BS_Sum_P_MS!$AQ$42:$AQ$43</c:f>
              <c:strCache>
                <c:ptCount val="2"/>
                <c:pt idx="0">
                  <c:v>Committed</c:v>
                </c:pt>
                <c:pt idx="1">
                  <c:v>Discretionary</c:v>
                </c:pt>
              </c:strCache>
            </c:strRef>
          </c:cat>
          <c:val>
            <c:numRef>
              <c:f>BS_Sum_P_MS!$AX$42:$AX$43</c:f>
              <c:numCache>
                <c:formatCode>_(#,##0.0_);\(#,##0.0\);_("-"_)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BS_Sum_P_MS!$AU$47</c:f>
          <c:strCache>
            <c:ptCount val="1"/>
            <c:pt idx="0">
              <c:v>Net Assets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dPt>
            <c:idx val="1"/>
            <c:spPr>
              <a:noFill/>
            </c:spPr>
          </c:dPt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BS_Sum_P_MS!$AZ$53:$AZ$55</c:f>
              <c:numCache>
                <c:formatCode>_(#,##0.0_);\(#,##0.0\);_("-"_)</c:formatCode>
                <c:ptCount val="3"/>
                <c:pt idx="0">
                  <c:v>0</c:v>
                </c:pt>
                <c:pt idx="1">
                  <c:v>135.91875000000002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BS_Sum_P_MS!$BA$53:$BA$55</c:f>
              <c:numCache>
                <c:formatCode>_(#,##0.0_);\(#,##0.0\);_("-"_)</c:formatCode>
                <c:ptCount val="3"/>
                <c:pt idx="0">
                  <c:v>216.719948630137</c:v>
                </c:pt>
                <c:pt idx="1">
                  <c:v>80.80119863013698</c:v>
                </c:pt>
                <c:pt idx="2">
                  <c:v>135.91875000000002</c:v>
                </c:pt>
              </c:numCache>
            </c:numRef>
          </c:val>
        </c:ser>
        <c:gapWidth val="25"/>
        <c:overlap val="100"/>
        <c:axId val="295117568"/>
        <c:axId val="295119104"/>
      </c:barChart>
      <c:catAx>
        <c:axId val="295117568"/>
        <c:scaling>
          <c:orientation val="minMax"/>
        </c:scaling>
        <c:axPos val="b"/>
        <c:numFmt formatCode="General" sourceLinked="1"/>
        <c:tickLblPos val="nextTo"/>
        <c:crossAx val="295119104"/>
        <c:crosses val="autoZero"/>
        <c:auto val="1"/>
        <c:lblAlgn val="ctr"/>
        <c:lblOffset val="100"/>
      </c:catAx>
      <c:valAx>
        <c:axId val="295119104"/>
        <c:scaling>
          <c:orientation val="minMax"/>
        </c:scaling>
        <c:axPos val="l"/>
        <c:numFmt formatCode="_(#,##0.0_);\(#,##0.0\);_(&quot;-&quot;_)" sourceLinked="1"/>
        <c:tickLblPos val="nextTo"/>
        <c:crossAx val="295117568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BS_Sum_P_MS!$AU$29</c:f>
          <c:strCache>
            <c:ptCount val="1"/>
            <c:pt idx="0">
              <c:v>EBITDA Breakdown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44252863340766"/>
          <c:y val="0.28469234232750196"/>
          <c:w val="0.83627005830841783"/>
          <c:h val="0.5257492395040617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BS_Sum_P_MS!$AQ$31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BS_Sum_P_MS!$AX$31:$BE$31</c:f>
              <c:numCache>
                <c:formatCode>_(#,##0_);\(#,##0\);_("-"_)</c:formatCode>
                <c:ptCount val="8"/>
                <c:pt idx="0">
                  <c:v>125</c:v>
                </c:pt>
                <c:pt idx="1">
                  <c:v>128.125</c:v>
                </c:pt>
                <c:pt idx="2">
                  <c:v>131.328125</c:v>
                </c:pt>
                <c:pt idx="3">
                  <c:v>134.611328125</c:v>
                </c:pt>
                <c:pt idx="4">
                  <c:v>137.97661132812499</c:v>
                </c:pt>
                <c:pt idx="5">
                  <c:v>141.4260266113281</c:v>
                </c:pt>
                <c:pt idx="6">
                  <c:v>144.96167727661128</c:v>
                </c:pt>
                <c:pt idx="7">
                  <c:v>148.58571920852654</c:v>
                </c:pt>
              </c:numCache>
            </c:numRef>
          </c:val>
        </c:ser>
        <c:ser>
          <c:idx val="1"/>
          <c:order val="1"/>
          <c:tx>
            <c:strRef>
              <c:f>BS_Sum_P_MS!$AQ$32</c:f>
              <c:strCache>
                <c:ptCount val="1"/>
                <c:pt idx="0">
                  <c:v>Cost of Goods Sold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BS_Sum_P_MS!$AX$32:$BE$32</c:f>
              <c:numCache>
                <c:formatCode>_(#,##0_);\(#,##0\);_("-"_)</c:formatCode>
                <c:ptCount val="8"/>
                <c:pt idx="0">
                  <c:v>-25</c:v>
                </c:pt>
                <c:pt idx="1">
                  <c:v>-25.624999999999996</c:v>
                </c:pt>
                <c:pt idx="2">
                  <c:v>-26.265624999999993</c:v>
                </c:pt>
                <c:pt idx="3">
                  <c:v>-26.922265624999991</c:v>
                </c:pt>
                <c:pt idx="4">
                  <c:v>-27.59532226562499</c:v>
                </c:pt>
                <c:pt idx="5">
                  <c:v>-28.285205322265611</c:v>
                </c:pt>
                <c:pt idx="6">
                  <c:v>-28.992335455322248</c:v>
                </c:pt>
                <c:pt idx="7">
                  <c:v>-29.717143841705301</c:v>
                </c:pt>
              </c:numCache>
            </c:numRef>
          </c:val>
        </c:ser>
        <c:ser>
          <c:idx val="2"/>
          <c:order val="2"/>
          <c:tx>
            <c:strRef>
              <c:f>BS_Sum_P_MS!$AQ$33</c:f>
              <c:strCache>
                <c:ptCount val="1"/>
                <c:pt idx="0">
                  <c:v>Operating Expenditure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BS_Sum_P_MS!$AX$33:$BE$33</c:f>
              <c:numCache>
                <c:formatCode>_(#,##0_);\(#,##0\);_("-"_)</c:formatCode>
                <c:ptCount val="8"/>
                <c:pt idx="0">
                  <c:v>-40</c:v>
                </c:pt>
                <c:pt idx="1">
                  <c:v>-41</c:v>
                </c:pt>
                <c:pt idx="2">
                  <c:v>-42.024999999999999</c:v>
                </c:pt>
                <c:pt idx="3">
                  <c:v>-43.075624999999995</c:v>
                </c:pt>
                <c:pt idx="4">
                  <c:v>-44.152515624999992</c:v>
                </c:pt>
                <c:pt idx="5">
                  <c:v>-45.256328515624986</c:v>
                </c:pt>
                <c:pt idx="6">
                  <c:v>-46.387736728515605</c:v>
                </c:pt>
                <c:pt idx="7">
                  <c:v>-47.547430146728495</c:v>
                </c:pt>
              </c:numCache>
            </c:numRef>
          </c:val>
        </c:ser>
        <c:overlap val="100"/>
        <c:axId val="295240064"/>
        <c:axId val="295241600"/>
      </c:barChart>
      <c:lineChart>
        <c:grouping val="standard"/>
        <c:ser>
          <c:idx val="6"/>
          <c:order val="3"/>
          <c:tx>
            <c:strRef>
              <c:f>BS_Sum_P_MS!$AQ$34</c:f>
              <c:strCache>
                <c:ptCount val="1"/>
                <c:pt idx="0">
                  <c:v>EBITDA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val>
            <c:numRef>
              <c:f>BS_Sum_P_MS!$AX$34:$BE$34</c:f>
              <c:numCache>
                <c:formatCode>_(#,##0_);\(#,##0\);_("-"_)</c:formatCode>
                <c:ptCount val="8"/>
                <c:pt idx="0">
                  <c:v>60</c:v>
                </c:pt>
                <c:pt idx="1">
                  <c:v>61.5</c:v>
                </c:pt>
                <c:pt idx="2">
                  <c:v>63.037500000000001</c:v>
                </c:pt>
                <c:pt idx="3">
                  <c:v>64.613437500000003</c:v>
                </c:pt>
                <c:pt idx="4">
                  <c:v>66.22877343750001</c:v>
                </c:pt>
                <c:pt idx="5">
                  <c:v>67.884492773437501</c:v>
                </c:pt>
                <c:pt idx="6">
                  <c:v>69.58160509277343</c:v>
                </c:pt>
                <c:pt idx="7">
                  <c:v>71.321145220092745</c:v>
                </c:pt>
              </c:numCache>
            </c:numRef>
          </c:val>
        </c:ser>
        <c:marker val="1"/>
        <c:axId val="295240064"/>
        <c:axId val="295241600"/>
      </c:lineChart>
      <c:catAx>
        <c:axId val="295240064"/>
        <c:scaling>
          <c:orientation val="minMax"/>
        </c:scaling>
        <c:axPos val="b"/>
        <c:numFmt formatCode="General" sourceLinked="1"/>
        <c:tickLblPos val="low"/>
        <c:crossAx val="295241600"/>
        <c:crosses val="autoZero"/>
        <c:auto val="1"/>
        <c:lblAlgn val="ctr"/>
        <c:lblOffset val="100"/>
      </c:catAx>
      <c:valAx>
        <c:axId val="295241600"/>
        <c:scaling>
          <c:orientation val="minMax"/>
        </c:scaling>
        <c:axPos val="l"/>
        <c:numFmt formatCode="_(#,##0_);\(#,##0\);_(&quot;-&quot;_)" sourceLinked="1"/>
        <c:tickLblPos val="nextTo"/>
        <c:crossAx val="2952400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04559789714635"/>
          <c:y val="0.1231018518518525"/>
          <c:w val="0.83569454120976772"/>
          <c:h val="0.1386362687927615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BS_Sum_P_MS!$AU$17</c:f>
          <c:strCache>
            <c:ptCount val="1"/>
            <c:pt idx="0">
              <c:v>Cost of Goods Sold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1313297459735661"/>
          <c:y val="0.27588255418585977"/>
          <c:w val="0.84857961234447155"/>
          <c:h val="0.5203196705147507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BS_Sum_P_MS!$AQ$19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accent2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BS_Sum_P_MS!$AX$19:$BE$19</c:f>
              <c:numCache>
                <c:formatCode>_(#,##0_);\(#,##0\);_("-"_)</c:formatCode>
                <c:ptCount val="8"/>
                <c:pt idx="0">
                  <c:v>25</c:v>
                </c:pt>
                <c:pt idx="1">
                  <c:v>25.624999999999996</c:v>
                </c:pt>
                <c:pt idx="2">
                  <c:v>26.265624999999993</c:v>
                </c:pt>
                <c:pt idx="3">
                  <c:v>26.922265624999991</c:v>
                </c:pt>
                <c:pt idx="4">
                  <c:v>27.59532226562499</c:v>
                </c:pt>
                <c:pt idx="5">
                  <c:v>28.285205322265611</c:v>
                </c:pt>
                <c:pt idx="6">
                  <c:v>28.992335455322248</c:v>
                </c:pt>
                <c:pt idx="7">
                  <c:v>29.717143841705301</c:v>
                </c:pt>
              </c:numCache>
            </c:numRef>
          </c:val>
        </c:ser>
        <c:overlap val="100"/>
        <c:axId val="295265792"/>
        <c:axId val="295267328"/>
      </c:barChart>
      <c:catAx>
        <c:axId val="295265792"/>
        <c:scaling>
          <c:orientation val="minMax"/>
        </c:scaling>
        <c:axPos val="b"/>
        <c:numFmt formatCode="General" sourceLinked="1"/>
        <c:tickLblPos val="nextTo"/>
        <c:crossAx val="295267328"/>
        <c:crosses val="autoZero"/>
        <c:auto val="1"/>
        <c:lblAlgn val="ctr"/>
        <c:lblOffset val="100"/>
      </c:catAx>
      <c:valAx>
        <c:axId val="295267328"/>
        <c:scaling>
          <c:orientation val="minMax"/>
        </c:scaling>
        <c:axPos val="l"/>
        <c:numFmt formatCode="_(#,##0_);\(#,##0\);_(&quot;-&quot;_)" sourceLinked="1"/>
        <c:tickLblPos val="nextTo"/>
        <c:crossAx val="295265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90783707168326"/>
          <c:y val="0.1231018518518525"/>
          <c:w val="0.5798369438564831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BS_Sum_P_MS!$AU$23</c:f>
          <c:strCache>
            <c:ptCount val="1"/>
            <c:pt idx="0">
              <c:v>Operating Expenditure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44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BS_Sum_P_MS!$AQ$25</c:f>
              <c:strCache>
                <c:ptCount val="1"/>
                <c:pt idx="0">
                  <c:v>Operating Expenditure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BS_Sum_P_MS!$AX$25:$BE$25</c:f>
              <c:numCache>
                <c:formatCode>_(#,##0_);\(#,##0\);_("-"_)</c:formatCode>
                <c:ptCount val="8"/>
                <c:pt idx="0">
                  <c:v>40</c:v>
                </c:pt>
                <c:pt idx="1">
                  <c:v>41</c:v>
                </c:pt>
                <c:pt idx="2">
                  <c:v>42.024999999999999</c:v>
                </c:pt>
                <c:pt idx="3">
                  <c:v>43.075624999999995</c:v>
                </c:pt>
                <c:pt idx="4">
                  <c:v>44.152515624999992</c:v>
                </c:pt>
                <c:pt idx="5">
                  <c:v>45.256328515624986</c:v>
                </c:pt>
                <c:pt idx="6">
                  <c:v>46.387736728515605</c:v>
                </c:pt>
                <c:pt idx="7">
                  <c:v>47.547430146728495</c:v>
                </c:pt>
              </c:numCache>
            </c:numRef>
          </c:val>
        </c:ser>
        <c:overlap val="100"/>
        <c:axId val="295377536"/>
        <c:axId val="295387520"/>
      </c:barChart>
      <c:catAx>
        <c:axId val="295377536"/>
        <c:scaling>
          <c:orientation val="minMax"/>
        </c:scaling>
        <c:axPos val="b"/>
        <c:numFmt formatCode="General" sourceLinked="1"/>
        <c:tickLblPos val="nextTo"/>
        <c:crossAx val="295387520"/>
        <c:crosses val="autoZero"/>
        <c:auto val="1"/>
        <c:lblAlgn val="ctr"/>
        <c:lblOffset val="100"/>
      </c:catAx>
      <c:valAx>
        <c:axId val="295387520"/>
        <c:scaling>
          <c:orientation val="minMax"/>
        </c:scaling>
        <c:axPos val="l"/>
        <c:numFmt formatCode="_(#,##0_);\(#,##0\);_(&quot;-&quot;_)" sourceLinked="1"/>
        <c:tickLblPos val="nextTo"/>
        <c:crossAx val="2953775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259287184841079"/>
          <c:y val="0.1231018518518525"/>
          <c:w val="0.62578183952630195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16</xdr:row>
      <xdr:rowOff>127</xdr:rowOff>
    </xdr:to>
    <xdr:sp macro="" textlink="">
      <xdr:nvSpPr>
        <xdr:cNvPr id="2" name="Rectangle 1"/>
        <xdr:cNvSpPr/>
      </xdr:nvSpPr>
      <xdr:spPr>
        <a:xfrm>
          <a:off x="2886075" y="9810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41</xdr:col>
      <xdr:colOff>126</xdr:colOff>
      <xdr:row>32</xdr:row>
      <xdr:rowOff>127</xdr:rowOff>
    </xdr:to>
    <xdr:sp macro="" textlink="">
      <xdr:nvSpPr>
        <xdr:cNvPr id="3" name="Rectangle 2"/>
        <xdr:cNvSpPr/>
      </xdr:nvSpPr>
      <xdr:spPr>
        <a:xfrm>
          <a:off x="2886075" y="31146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16</xdr:row>
      <xdr:rowOff>921</xdr:rowOff>
    </xdr:from>
    <xdr:to>
      <xdr:col>31</xdr:col>
      <xdr:colOff>858</xdr:colOff>
      <xdr:row>22</xdr:row>
      <xdr:rowOff>794</xdr:rowOff>
    </xdr:to>
    <xdr:cxnSp macro="">
      <xdr:nvCxnSpPr>
        <xdr:cNvPr id="4" name="Straight Arrow Connector 3"/>
        <xdr:cNvCxnSpPr>
          <a:stCxn id="3" idx="0"/>
          <a:endCxn id="2" idx="2"/>
        </xdr:cNvCxnSpPr>
      </xdr:nvCxnSpPr>
      <xdr:spPr>
        <a:xfrm rot="5400000" flipH="1" flipV="1">
          <a:off x="3819652" y="2714689"/>
          <a:ext cx="7999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</xdr:colOff>
      <xdr:row>6</xdr:row>
      <xdr:rowOff>127</xdr:rowOff>
    </xdr:from>
    <xdr:to>
      <xdr:col>33</xdr:col>
      <xdr:colOff>535844</xdr:colOff>
      <xdr:row>24</xdr:row>
      <xdr:rowOff>253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</xdr:colOff>
      <xdr:row>45</xdr:row>
      <xdr:rowOff>127</xdr:rowOff>
    </xdr:from>
    <xdr:to>
      <xdr:col>33</xdr:col>
      <xdr:colOff>535845</xdr:colOff>
      <xdr:row>63</xdr:row>
      <xdr:rowOff>253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64644</xdr:colOff>
      <xdr:row>45</xdr:row>
      <xdr:rowOff>127</xdr:rowOff>
    </xdr:from>
    <xdr:to>
      <xdr:col>39</xdr:col>
      <xdr:colOff>286</xdr:colOff>
      <xdr:row>63</xdr:row>
      <xdr:rowOff>253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64358</xdr:colOff>
      <xdr:row>26</xdr:row>
      <xdr:rowOff>0</xdr:rowOff>
    </xdr:from>
    <xdr:to>
      <xdr:col>39</xdr:col>
      <xdr:colOff>0</xdr:colOff>
      <xdr:row>43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64358</xdr:colOff>
      <xdr:row>5</xdr:row>
      <xdr:rowOff>133224</xdr:rowOff>
    </xdr:from>
    <xdr:to>
      <xdr:col>39</xdr:col>
      <xdr:colOff>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33</xdr:col>
      <xdr:colOff>535717</xdr:colOff>
      <xdr:row>43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M-SMA%2013-Best%20Practice%20Model%20Example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tents"/>
      <sheetName val="Overview_SC"/>
      <sheetName val="Notes_SSC"/>
      <sheetName val="Linked_Workbooks_Diagram_MS"/>
      <sheetName val="Assumptions_SC"/>
      <sheetName val="TS_Ass_SSC"/>
      <sheetName val="TS_BA"/>
      <sheetName val="Fcast_Ass_SSC"/>
      <sheetName val="Fcast_TA"/>
      <sheetName val="Base_OP_SC"/>
      <sheetName val="Fcast_OP_SSC"/>
      <sheetName val="Fcast_TO"/>
      <sheetName val="Appendices_SC"/>
      <sheetName val="Model_Exports_SSC"/>
      <sheetName val="Model_Exports_ME_TO"/>
      <sheetName val="Checks_SSC"/>
      <sheetName val="Checks_BO"/>
      <sheetName val="LU_SSC"/>
      <sheetName val="TS_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/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</row>
        <row r="7">
          <cell r="B7" t="str">
            <v>Year Ending 31 December</v>
          </cell>
          <cell r="J7" t="str">
            <v xml:space="preserve">2010 (F) </v>
          </cell>
          <cell r="K7" t="str">
            <v xml:space="preserve">2011 (F) </v>
          </cell>
          <cell r="L7" t="str">
            <v xml:space="preserve">2012 (F) </v>
          </cell>
          <cell r="M7" t="str">
            <v xml:space="preserve">2013 (F) </v>
          </cell>
          <cell r="N7" t="str">
            <v xml:space="preserve">2014 (F) </v>
          </cell>
          <cell r="O7" t="str">
            <v xml:space="preserve">2015 (F) </v>
          </cell>
          <cell r="P7" t="str">
            <v xml:space="preserve">2016 (F) </v>
          </cell>
          <cell r="Q7" t="str">
            <v xml:space="preserve">2017 (F) </v>
          </cell>
        </row>
        <row r="8">
          <cell r="B8" t="str">
            <v>Period Start Date (From Start of Day...)</v>
          </cell>
          <cell r="J8">
            <v>40179</v>
          </cell>
          <cell r="K8">
            <v>40544</v>
          </cell>
          <cell r="L8">
            <v>40909</v>
          </cell>
          <cell r="M8">
            <v>41275</v>
          </cell>
          <cell r="N8">
            <v>41640</v>
          </cell>
          <cell r="O8">
            <v>42005</v>
          </cell>
          <cell r="P8">
            <v>42370</v>
          </cell>
          <cell r="Q8">
            <v>42736</v>
          </cell>
        </row>
        <row r="9">
          <cell r="B9" t="str">
            <v>Period End Date (Until End of Day...)</v>
          </cell>
          <cell r="J9">
            <v>40543</v>
          </cell>
          <cell r="K9">
            <v>40908</v>
          </cell>
          <cell r="L9">
            <v>41274</v>
          </cell>
          <cell r="M9">
            <v>41639</v>
          </cell>
          <cell r="N9">
            <v>42004</v>
          </cell>
          <cell r="O9">
            <v>42369</v>
          </cell>
          <cell r="P9">
            <v>42735</v>
          </cell>
          <cell r="Q9">
            <v>43100</v>
          </cell>
        </row>
        <row r="10">
          <cell r="B10" t="str">
            <v>Financial Year</v>
          </cell>
          <cell r="J10">
            <v>2010</v>
          </cell>
          <cell r="K10">
            <v>2011</v>
          </cell>
          <cell r="L10">
            <v>2012</v>
          </cell>
          <cell r="M10">
            <v>2013</v>
          </cell>
          <cell r="N10">
            <v>2014</v>
          </cell>
          <cell r="O10">
            <v>2015</v>
          </cell>
          <cell r="P10">
            <v>2016</v>
          </cell>
          <cell r="Q10">
            <v>2017</v>
          </cell>
        </row>
        <row r="11">
          <cell r="B11" t="str">
            <v>Financial Year Period</v>
          </cell>
          <cell r="J11" t="str">
            <v xml:space="preserve">Year </v>
          </cell>
          <cell r="K11" t="str">
            <v xml:space="preserve">Year </v>
          </cell>
          <cell r="L11" t="str">
            <v xml:space="preserve">Year </v>
          </cell>
          <cell r="M11" t="str">
            <v xml:space="preserve">Year </v>
          </cell>
          <cell r="N11" t="str">
            <v xml:space="preserve">Year </v>
          </cell>
          <cell r="O11" t="str">
            <v xml:space="preserve">Year </v>
          </cell>
          <cell r="P11" t="str">
            <v xml:space="preserve">Year </v>
          </cell>
          <cell r="Q11" t="str">
            <v xml:space="preserve">Year </v>
          </cell>
        </row>
        <row r="12">
          <cell r="B12" t="str">
            <v>Counter</v>
          </cell>
          <cell r="J12">
            <v>1</v>
          </cell>
          <cell r="K12">
            <v>2</v>
          </cell>
          <cell r="L12">
            <v>3</v>
          </cell>
          <cell r="M12">
            <v>4</v>
          </cell>
          <cell r="N12">
            <v>5</v>
          </cell>
          <cell r="O12">
            <v>6</v>
          </cell>
          <cell r="P12">
            <v>7</v>
          </cell>
          <cell r="Q12">
            <v>8</v>
          </cell>
        </row>
        <row r="13">
          <cell r="B13" t="str">
            <v>Period Key</v>
          </cell>
          <cell r="J13" t="str">
            <v xml:space="preserve">2010-Year </v>
          </cell>
          <cell r="K13" t="str">
            <v xml:space="preserve">2011-Year </v>
          </cell>
          <cell r="L13" t="str">
            <v xml:space="preserve">2012-Year </v>
          </cell>
          <cell r="M13" t="str">
            <v xml:space="preserve">2013-Year </v>
          </cell>
          <cell r="N13" t="str">
            <v xml:space="preserve">2014-Year </v>
          </cell>
          <cell r="O13" t="str">
            <v xml:space="preserve">2015-Year </v>
          </cell>
          <cell r="P13" t="str">
            <v xml:space="preserve">2016-Year </v>
          </cell>
          <cell r="Q13" t="str">
            <v xml:space="preserve">2017-Year </v>
          </cell>
        </row>
        <row r="16">
          <cell r="B16" t="str">
            <v>Operational - Outputs</v>
          </cell>
        </row>
        <row r="18">
          <cell r="C18" t="str">
            <v>Revenue</v>
          </cell>
          <cell r="J18">
            <v>125</v>
          </cell>
          <cell r="K18">
            <v>128.125</v>
          </cell>
          <cell r="L18">
            <v>131.328125</v>
          </cell>
          <cell r="M18">
            <v>134.611328125</v>
          </cell>
          <cell r="N18">
            <v>137.97661132812499</v>
          </cell>
          <cell r="O18">
            <v>141.4260266113281</v>
          </cell>
          <cell r="P18">
            <v>144.96167727661128</v>
          </cell>
          <cell r="Q18">
            <v>148.58571920852654</v>
          </cell>
        </row>
        <row r="19">
          <cell r="C19" t="str">
            <v>Cost of Goods Sold</v>
          </cell>
          <cell r="J19">
            <v>25</v>
          </cell>
          <cell r="K19">
            <v>25.624999999999996</v>
          </cell>
          <cell r="L19">
            <v>26.265624999999993</v>
          </cell>
          <cell r="M19">
            <v>26.922265624999991</v>
          </cell>
          <cell r="N19">
            <v>27.59532226562499</v>
          </cell>
          <cell r="O19">
            <v>28.285205322265611</v>
          </cell>
          <cell r="P19">
            <v>28.992335455322248</v>
          </cell>
          <cell r="Q19">
            <v>29.717143841705301</v>
          </cell>
        </row>
        <row r="20">
          <cell r="C20" t="str">
            <v>Operating Expenditure</v>
          </cell>
          <cell r="J20">
            <v>40</v>
          </cell>
          <cell r="K20">
            <v>41</v>
          </cell>
          <cell r="L20">
            <v>42.024999999999999</v>
          </cell>
          <cell r="M20">
            <v>43.075624999999995</v>
          </cell>
          <cell r="N20">
            <v>44.152515624999992</v>
          </cell>
          <cell r="O20">
            <v>45.256328515624986</v>
          </cell>
          <cell r="P20">
            <v>46.387736728515605</v>
          </cell>
          <cell r="Q20">
            <v>47.547430146728495</v>
          </cell>
        </row>
        <row r="21">
          <cell r="C21" t="str">
            <v>Capital Expenditure - Assets</v>
          </cell>
          <cell r="J21">
            <v>15</v>
          </cell>
          <cell r="K21">
            <v>15.374999999999998</v>
          </cell>
          <cell r="L21">
            <v>15.759374999999997</v>
          </cell>
          <cell r="M21">
            <v>16.153359374999994</v>
          </cell>
          <cell r="N21">
            <v>16.557193359374992</v>
          </cell>
          <cell r="O21">
            <v>16.971123193359364</v>
          </cell>
          <cell r="P21">
            <v>17.395401273193347</v>
          </cell>
          <cell r="Q21">
            <v>17.830286305023179</v>
          </cell>
        </row>
        <row r="22">
          <cell r="C22" t="str">
            <v>Capital Expenditure - Intangibles</v>
          </cell>
          <cell r="J22">
            <v>2.5</v>
          </cell>
          <cell r="K22">
            <v>2.5625</v>
          </cell>
          <cell r="L22">
            <v>2.6265624999999999</v>
          </cell>
          <cell r="M22">
            <v>2.6922265624999997</v>
          </cell>
          <cell r="N22">
            <v>2.7595322265624995</v>
          </cell>
          <cell r="O22">
            <v>2.8285205322265616</v>
          </cell>
          <cell r="P22">
            <v>2.8992335455322253</v>
          </cell>
          <cell r="Q22">
            <v>2.9717143841705309</v>
          </cell>
        </row>
        <row r="25">
          <cell r="B25" t="str">
            <v>Working Capital - Outputs</v>
          </cell>
        </row>
        <row r="27">
          <cell r="C27" t="str">
            <v>Accounts Receivable Balances ($Millions)</v>
          </cell>
        </row>
        <row r="29">
          <cell r="D29" t="str">
            <v>Opening Balance</v>
          </cell>
          <cell r="J29">
            <v>21</v>
          </cell>
          <cell r="K29">
            <v>10.273972602739725</v>
          </cell>
          <cell r="L29">
            <v>10.530821917808218</v>
          </cell>
          <cell r="M29">
            <v>10.764600409836065</v>
          </cell>
          <cell r="N29">
            <v>11.063944777397261</v>
          </cell>
          <cell r="O29">
            <v>11.340543396832192</v>
          </cell>
          <cell r="P29">
            <v>11.624056981752995</v>
          </cell>
          <cell r="Q29">
            <v>11.882104694804204</v>
          </cell>
        </row>
        <row r="30">
          <cell r="D30" t="str">
            <v>Revenue</v>
          </cell>
          <cell r="J30">
            <v>125</v>
          </cell>
          <cell r="K30">
            <v>128.125</v>
          </cell>
          <cell r="L30">
            <v>131.328125</v>
          </cell>
          <cell r="M30">
            <v>134.611328125</v>
          </cell>
          <cell r="N30">
            <v>137.97661132812499</v>
          </cell>
          <cell r="O30">
            <v>141.4260266113281</v>
          </cell>
          <cell r="P30">
            <v>144.96167727661128</v>
          </cell>
          <cell r="Q30">
            <v>148.58571920852654</v>
          </cell>
        </row>
        <row r="31">
          <cell r="D31" t="str">
            <v>Cash Receipts</v>
          </cell>
          <cell r="J31">
            <v>-135.72602739726028</v>
          </cell>
          <cell r="K31">
            <v>-127.86815068493149</v>
          </cell>
          <cell r="L31">
            <v>-131.09434650797215</v>
          </cell>
          <cell r="M31">
            <v>-134.31198375743881</v>
          </cell>
          <cell r="N31">
            <v>-137.70001270869005</v>
          </cell>
          <cell r="O31">
            <v>-141.1425130264073</v>
          </cell>
          <cell r="P31">
            <v>-144.70362956356007</v>
          </cell>
          <cell r="Q31">
            <v>-148.25529903687652</v>
          </cell>
        </row>
        <row r="32">
          <cell r="D32" t="str">
            <v>Movement in Accounts Receivable</v>
          </cell>
          <cell r="J32">
            <v>-10.726027397260282</v>
          </cell>
          <cell r="K32">
            <v>0.25684931506850717</v>
          </cell>
          <cell r="L32">
            <v>0.23377849202785228</v>
          </cell>
          <cell r="M32">
            <v>0.29934436756118998</v>
          </cell>
          <cell r="N32">
            <v>0.27659861943493524</v>
          </cell>
          <cell r="O32">
            <v>0.28351358492079726</v>
          </cell>
          <cell r="P32">
            <v>0.25804771305121221</v>
          </cell>
          <cell r="Q32">
            <v>0.3304201716500188</v>
          </cell>
        </row>
        <row r="33">
          <cell r="D33" t="str">
            <v>Closing Balance</v>
          </cell>
          <cell r="J33">
            <v>10.273972602739725</v>
          </cell>
          <cell r="K33">
            <v>10.530821917808218</v>
          </cell>
          <cell r="L33">
            <v>10.764600409836065</v>
          </cell>
          <cell r="M33">
            <v>11.063944777397261</v>
          </cell>
          <cell r="N33">
            <v>11.340543396832192</v>
          </cell>
          <cell r="O33">
            <v>11.624056981752995</v>
          </cell>
          <cell r="P33">
            <v>11.882104694804204</v>
          </cell>
          <cell r="Q33">
            <v>12.212524866454237</v>
          </cell>
        </row>
        <row r="35">
          <cell r="C35" t="str">
            <v>Accounts Payable Balances ($Millions)</v>
          </cell>
        </row>
        <row r="37">
          <cell r="D37" t="str">
            <v>Opening Balance</v>
          </cell>
          <cell r="J37">
            <v>16</v>
          </cell>
          <cell r="K37">
            <v>8.0136986301369859</v>
          </cell>
          <cell r="L37">
            <v>8.2140410958904102</v>
          </cell>
          <cell r="M37">
            <v>8.3963883196721305</v>
          </cell>
          <cell r="N37">
            <v>8.629876926369862</v>
          </cell>
          <cell r="O37">
            <v>8.8456238495291082</v>
          </cell>
          <cell r="P37">
            <v>9.0667644457673351</v>
          </cell>
          <cell r="Q37">
            <v>9.2680416619472759</v>
          </cell>
        </row>
        <row r="38">
          <cell r="D38" t="str">
            <v>Costs</v>
          </cell>
          <cell r="J38">
            <v>65</v>
          </cell>
          <cell r="K38">
            <v>66.625</v>
          </cell>
          <cell r="L38">
            <v>68.290624999999991</v>
          </cell>
          <cell r="M38">
            <v>69.997890624999982</v>
          </cell>
          <cell r="N38">
            <v>71.747837890624979</v>
          </cell>
          <cell r="O38">
            <v>73.541533837890597</v>
          </cell>
          <cell r="P38">
            <v>75.380072183837854</v>
          </cell>
          <cell r="Q38">
            <v>77.264573988433796</v>
          </cell>
        </row>
        <row r="39">
          <cell r="D39" t="str">
            <v>Cash Payments</v>
          </cell>
          <cell r="J39">
            <v>-72.986301369863014</v>
          </cell>
          <cell r="K39">
            <v>-66.424657534246577</v>
          </cell>
          <cell r="L39">
            <v>-68.108277776218273</v>
          </cell>
          <cell r="M39">
            <v>-69.764402018302249</v>
          </cell>
          <cell r="N39">
            <v>-71.532090967465734</v>
          </cell>
          <cell r="O39">
            <v>-73.320393241652368</v>
          </cell>
          <cell r="P39">
            <v>-75.178794967657907</v>
          </cell>
          <cell r="Q39">
            <v>-77.006846254546772</v>
          </cell>
        </row>
        <row r="40">
          <cell r="D40" t="str">
            <v>Movement in Accounts Payable</v>
          </cell>
          <cell r="J40">
            <v>-7.9863013698630141</v>
          </cell>
          <cell r="K40">
            <v>0.20034246575342252</v>
          </cell>
          <cell r="L40">
            <v>0.18234722378171853</v>
          </cell>
          <cell r="M40">
            <v>0.2334886066977333</v>
          </cell>
          <cell r="N40">
            <v>0.21574692315924437</v>
          </cell>
          <cell r="O40">
            <v>0.22114059623822868</v>
          </cell>
          <cell r="P40">
            <v>0.20127721617994609</v>
          </cell>
          <cell r="Q40">
            <v>0.25772773388702319</v>
          </cell>
        </row>
        <row r="41">
          <cell r="D41" t="str">
            <v>Closing Balance</v>
          </cell>
          <cell r="J41">
            <v>8.0136986301369859</v>
          </cell>
          <cell r="K41">
            <v>8.2140410958904102</v>
          </cell>
          <cell r="L41">
            <v>8.3963883196721305</v>
          </cell>
          <cell r="M41">
            <v>8.629876926369862</v>
          </cell>
          <cell r="N41">
            <v>8.8456238495291082</v>
          </cell>
          <cell r="O41">
            <v>9.0667644457673351</v>
          </cell>
          <cell r="P41">
            <v>9.2680416619472759</v>
          </cell>
          <cell r="Q41">
            <v>9.5257693958343044</v>
          </cell>
        </row>
        <row r="44">
          <cell r="B44" t="str">
            <v>Assets - Outputs</v>
          </cell>
        </row>
        <row r="46">
          <cell r="C46" t="str">
            <v>Assets Balances ($Millions)</v>
          </cell>
        </row>
        <row r="48">
          <cell r="D48" t="str">
            <v>Opening Balance</v>
          </cell>
          <cell r="J48">
            <v>145</v>
          </cell>
          <cell r="K48">
            <v>146.5</v>
          </cell>
          <cell r="L48">
            <v>148.03749999999999</v>
          </cell>
          <cell r="M48">
            <v>149.6134375</v>
          </cell>
          <cell r="N48">
            <v>151.22877343750002</v>
          </cell>
          <cell r="O48">
            <v>152.88449277343753</v>
          </cell>
          <cell r="P48">
            <v>154.58160509277349</v>
          </cell>
          <cell r="Q48">
            <v>156.32114522009283</v>
          </cell>
        </row>
        <row r="49">
          <cell r="D49" t="str">
            <v>Capital Expenditure - Assets</v>
          </cell>
          <cell r="J49">
            <v>15</v>
          </cell>
          <cell r="K49">
            <v>15.374999999999998</v>
          </cell>
          <cell r="L49">
            <v>15.759374999999997</v>
          </cell>
          <cell r="M49">
            <v>16.153359374999994</v>
          </cell>
          <cell r="N49">
            <v>16.557193359374992</v>
          </cell>
          <cell r="O49">
            <v>16.971123193359364</v>
          </cell>
          <cell r="P49">
            <v>17.395401273193347</v>
          </cell>
          <cell r="Q49">
            <v>17.830286305023179</v>
          </cell>
        </row>
        <row r="50">
          <cell r="D50" t="str">
            <v>Depreciation - % of Capital Expenditure</v>
          </cell>
          <cell r="J50">
            <v>0.9</v>
          </cell>
          <cell r="K50">
            <v>0.9</v>
          </cell>
          <cell r="L50">
            <v>0.9</v>
          </cell>
          <cell r="M50">
            <v>0.9</v>
          </cell>
          <cell r="N50">
            <v>0.9</v>
          </cell>
          <cell r="O50">
            <v>0.9</v>
          </cell>
          <cell r="P50">
            <v>0.9</v>
          </cell>
          <cell r="Q50">
            <v>0.9</v>
          </cell>
        </row>
        <row r="51">
          <cell r="D51" t="str">
            <v>Depreciation</v>
          </cell>
          <cell r="J51">
            <v>-13.5</v>
          </cell>
          <cell r="K51">
            <v>-13.837499999999999</v>
          </cell>
          <cell r="L51">
            <v>-14.183437499999997</v>
          </cell>
          <cell r="M51">
            <v>-14.538023437499994</v>
          </cell>
          <cell r="N51">
            <v>-14.901474023437492</v>
          </cell>
          <cell r="O51">
            <v>-15.274010874023428</v>
          </cell>
          <cell r="P51">
            <v>-15.655861145874013</v>
          </cell>
          <cell r="Q51">
            <v>-16.047257674520861</v>
          </cell>
        </row>
        <row r="52">
          <cell r="D52" t="str">
            <v>Closing Balance</v>
          </cell>
          <cell r="J52">
            <v>146.5</v>
          </cell>
          <cell r="K52">
            <v>148.03749999999999</v>
          </cell>
          <cell r="L52">
            <v>149.6134375</v>
          </cell>
          <cell r="M52">
            <v>151.22877343750002</v>
          </cell>
          <cell r="N52">
            <v>152.88449277343753</v>
          </cell>
          <cell r="O52">
            <v>154.58160509277349</v>
          </cell>
          <cell r="P52">
            <v>156.32114522009283</v>
          </cell>
          <cell r="Q52">
            <v>158.10417385059515</v>
          </cell>
        </row>
        <row r="54">
          <cell r="C54" t="str">
            <v>Intangibles Balances ($Millions)</v>
          </cell>
        </row>
        <row r="56">
          <cell r="D56" t="str">
            <v>Opening Balance</v>
          </cell>
          <cell r="J56">
            <v>11.5</v>
          </cell>
          <cell r="K56">
            <v>13.375</v>
          </cell>
          <cell r="L56">
            <v>15.296875</v>
          </cell>
          <cell r="M56">
            <v>17.266796874999997</v>
          </cell>
          <cell r="N56">
            <v>19.285966796874998</v>
          </cell>
          <cell r="O56">
            <v>21.355615966796872</v>
          </cell>
          <cell r="P56">
            <v>23.477006365966794</v>
          </cell>
          <cell r="Q56">
            <v>25.651431525115964</v>
          </cell>
        </row>
        <row r="57">
          <cell r="D57" t="str">
            <v>Capital Expenditure - Intangibles</v>
          </cell>
          <cell r="J57">
            <v>2.5</v>
          </cell>
          <cell r="K57">
            <v>2.5625</v>
          </cell>
          <cell r="L57">
            <v>2.6265624999999999</v>
          </cell>
          <cell r="M57">
            <v>2.6922265624999997</v>
          </cell>
          <cell r="N57">
            <v>2.7595322265624995</v>
          </cell>
          <cell r="O57">
            <v>2.8285205322265616</v>
          </cell>
          <cell r="P57">
            <v>2.8992335455322253</v>
          </cell>
          <cell r="Q57">
            <v>2.9717143841705309</v>
          </cell>
        </row>
        <row r="58">
          <cell r="D58" t="str">
            <v>Amortization - % of Capital Expenditure</v>
          </cell>
          <cell r="J58">
            <v>0.25</v>
          </cell>
          <cell r="K58">
            <v>0.25</v>
          </cell>
          <cell r="L58">
            <v>0.25</v>
          </cell>
          <cell r="M58">
            <v>0.25</v>
          </cell>
          <cell r="N58">
            <v>0.25</v>
          </cell>
          <cell r="O58">
            <v>0.25</v>
          </cell>
          <cell r="P58">
            <v>0.25</v>
          </cell>
          <cell r="Q58">
            <v>0.25</v>
          </cell>
        </row>
        <row r="59">
          <cell r="D59" t="str">
            <v>Amortization</v>
          </cell>
          <cell r="J59">
            <v>-0.625</v>
          </cell>
          <cell r="K59">
            <v>-0.640625</v>
          </cell>
          <cell r="L59">
            <v>-0.65664062499999998</v>
          </cell>
          <cell r="M59">
            <v>-0.67305664062499992</v>
          </cell>
          <cell r="N59">
            <v>-0.68988305664062488</v>
          </cell>
          <cell r="O59">
            <v>-0.70713013305664041</v>
          </cell>
          <cell r="P59">
            <v>-0.72480838638305634</v>
          </cell>
          <cell r="Q59">
            <v>-0.74292859604263273</v>
          </cell>
        </row>
        <row r="60">
          <cell r="D60" t="str">
            <v>Closing Balance</v>
          </cell>
          <cell r="J60">
            <v>13.375</v>
          </cell>
          <cell r="K60">
            <v>15.296875</v>
          </cell>
          <cell r="L60">
            <v>17.266796874999997</v>
          </cell>
          <cell r="M60">
            <v>19.285966796874998</v>
          </cell>
          <cell r="N60">
            <v>21.355615966796872</v>
          </cell>
          <cell r="O60">
            <v>23.477006365966794</v>
          </cell>
          <cell r="P60">
            <v>25.651431525115964</v>
          </cell>
          <cell r="Q60">
            <v>27.880217313243865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Relationship Id="rId4" Type="http://schemas.openxmlformats.org/officeDocument/2006/relationships/vmlDrawing" Target="../drawings/vmlDrawing2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M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0</v>
      </c>
    </row>
    <row r="10" spans="3:7" ht="15">
      <c r="C10" s="2" t="str">
        <f>"SMA 13. Multiple Workbooks - Best Practice Model Example 1"&amp;Err_Chks_Msg&amp;Sens_Chks_Msg&amp;Alt_Chks_Msg</f>
        <v>SMA 13. Multiple Workbooks - Best Practice Model Example 1</v>
      </c>
    </row>
    <row r="11" spans="3:7">
      <c r="C11" s="241" t="s">
        <v>1</v>
      </c>
      <c r="D11" s="241"/>
      <c r="E11" s="241"/>
      <c r="F11" s="241"/>
      <c r="G11" s="241"/>
    </row>
    <row r="19" spans="3:13">
      <c r="C19" s="3" t="s">
        <v>2</v>
      </c>
    </row>
    <row r="21" spans="3:13">
      <c r="C21" s="3" t="s">
        <v>3</v>
      </c>
    </row>
    <row r="22" spans="3:13">
      <c r="C22" s="4" t="s">
        <v>4</v>
      </c>
      <c r="D22" s="5" t="s">
        <v>5</v>
      </c>
    </row>
    <row r="23" spans="3:13">
      <c r="C23" s="4" t="s">
        <v>4</v>
      </c>
      <c r="D23" s="5" t="s">
        <v>6</v>
      </c>
    </row>
    <row r="24" spans="3:13">
      <c r="C24" s="4" t="s">
        <v>4</v>
      </c>
      <c r="D24" s="5" t="s">
        <v>7</v>
      </c>
      <c r="E24" s="6"/>
      <c r="F24" s="6"/>
      <c r="G24" s="6"/>
      <c r="H24" s="6"/>
      <c r="I24" s="6"/>
      <c r="J24" s="6"/>
      <c r="K24" s="6"/>
      <c r="L24" s="6"/>
      <c r="M24" s="6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98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style="46" customWidth="1"/>
    <col min="6" max="254" width="11.83203125" style="46" customWidth="1"/>
    <col min="255" max="16384" width="9.33203125" style="46"/>
  </cols>
  <sheetData>
    <row r="1" spans="1:17" ht="18">
      <c r="B1" s="47" t="s">
        <v>53</v>
      </c>
    </row>
    <row r="2" spans="1:17" ht="15">
      <c r="B2" s="48" t="str">
        <f>Model_Name</f>
        <v>SMA 13. Multiple Workbooks - Best Practice Model Example 1</v>
      </c>
    </row>
    <row r="3" spans="1:17">
      <c r="B3" s="271" t="s">
        <v>1</v>
      </c>
      <c r="C3" s="271"/>
      <c r="D3" s="271"/>
      <c r="E3" s="271"/>
      <c r="F3" s="271"/>
    </row>
    <row r="4" spans="1:17" ht="12.75">
      <c r="A4" s="49" t="s">
        <v>10</v>
      </c>
      <c r="B4" s="50" t="s">
        <v>26</v>
      </c>
      <c r="C4" s="51" t="s">
        <v>27</v>
      </c>
      <c r="D4" s="52" t="s">
        <v>38</v>
      </c>
      <c r="E4" s="52" t="s">
        <v>39</v>
      </c>
      <c r="F4" s="53" t="s">
        <v>40</v>
      </c>
    </row>
    <row r="6" spans="1:17">
      <c r="B6" s="61" t="str">
        <f>IF(TS_Pers_In_Yr=1,"",TS_Per_Type_Name&amp;" Ending")</f>
        <v/>
      </c>
      <c r="J6" s="62" t="str">
        <f t="shared" ref="J6:Q6" si="0">IF(TS_Pers_In_Yr=1,"",LEFT(INDEX(LU_Mth_Names,MONTH(J9)),3)&amp;"-"&amp;RIGHT(YEAR(J9),2))&amp;" "</f>
        <v xml:space="preserve"> </v>
      </c>
      <c r="K6" s="62" t="str">
        <f t="shared" si="0"/>
        <v xml:space="preserve"> </v>
      </c>
      <c r="L6" s="62" t="str">
        <f t="shared" si="0"/>
        <v xml:space="preserve"> </v>
      </c>
      <c r="M6" s="62" t="str">
        <f t="shared" si="0"/>
        <v xml:space="preserve"> </v>
      </c>
      <c r="N6" s="62" t="str">
        <f t="shared" si="0"/>
        <v xml:space="preserve"> </v>
      </c>
      <c r="O6" s="62" t="str">
        <f t="shared" si="0"/>
        <v xml:space="preserve"> </v>
      </c>
      <c r="P6" s="62" t="str">
        <f t="shared" si="0"/>
        <v xml:space="preserve"> </v>
      </c>
      <c r="Q6" s="62" t="str">
        <f t="shared" si="0"/>
        <v xml:space="preserve"> </v>
      </c>
    </row>
    <row r="7" spans="1:17">
      <c r="B7" s="63" t="str">
        <f>IF(TS_Pers_In_Yr=1,Yr_Name&amp;" Ending "&amp;DAY(TS_Per_1_End_Date)&amp;" "&amp;INDEX(LU_Mth_Names,DD_TS_Fin_YE_Mth),TS_Per_Type_Name)</f>
        <v>Year Ending 31 December</v>
      </c>
      <c r="C7" s="64"/>
      <c r="D7" s="64"/>
      <c r="E7" s="64"/>
      <c r="F7" s="64"/>
      <c r="G7" s="64"/>
      <c r="H7" s="64"/>
      <c r="I7" s="64"/>
      <c r="J7" s="65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65" t="str">
        <f t="shared" si="1"/>
        <v xml:space="preserve">2011 (F) </v>
      </c>
      <c r="L7" s="65" t="str">
        <f t="shared" si="1"/>
        <v xml:space="preserve">2012 (F) </v>
      </c>
      <c r="M7" s="65" t="str">
        <f t="shared" si="1"/>
        <v xml:space="preserve">2013 (F) </v>
      </c>
      <c r="N7" s="65" t="str">
        <f t="shared" si="1"/>
        <v xml:space="preserve">2014 (F) </v>
      </c>
      <c r="O7" s="65" t="str">
        <f t="shared" si="1"/>
        <v xml:space="preserve">2015 (F) </v>
      </c>
      <c r="P7" s="65" t="str">
        <f t="shared" si="1"/>
        <v xml:space="preserve">2016 (F) </v>
      </c>
      <c r="Q7" s="65" t="str">
        <f t="shared" si="1"/>
        <v xml:space="preserve">2017 (F) </v>
      </c>
    </row>
    <row r="8" spans="1:17" hidden="1" outlineLevel="2">
      <c r="B8" s="56" t="s">
        <v>108</v>
      </c>
      <c r="J8" s="66">
        <f t="shared" ref="J8:Q8" si="2">IF(J12=1,TS_Start_Date,I9+1)</f>
        <v>40179</v>
      </c>
      <c r="K8" s="66">
        <f t="shared" si="2"/>
        <v>40544</v>
      </c>
      <c r="L8" s="66">
        <f t="shared" si="2"/>
        <v>40909</v>
      </c>
      <c r="M8" s="66">
        <f t="shared" si="2"/>
        <v>41275</v>
      </c>
      <c r="N8" s="66">
        <f t="shared" si="2"/>
        <v>41640</v>
      </c>
      <c r="O8" s="66">
        <f t="shared" si="2"/>
        <v>42005</v>
      </c>
      <c r="P8" s="66">
        <f t="shared" si="2"/>
        <v>42370</v>
      </c>
      <c r="Q8" s="66">
        <f t="shared" si="2"/>
        <v>42736</v>
      </c>
    </row>
    <row r="9" spans="1:17" hidden="1" outlineLevel="2">
      <c r="B9" s="56" t="s">
        <v>109</v>
      </c>
      <c r="J9" s="66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66">
        <f t="shared" si="3"/>
        <v>40908</v>
      </c>
      <c r="L9" s="66">
        <f t="shared" si="3"/>
        <v>41274</v>
      </c>
      <c r="M9" s="66">
        <f t="shared" si="3"/>
        <v>41639</v>
      </c>
      <c r="N9" s="66">
        <f t="shared" si="3"/>
        <v>42004</v>
      </c>
      <c r="O9" s="66">
        <f t="shared" si="3"/>
        <v>42369</v>
      </c>
      <c r="P9" s="66">
        <f t="shared" si="3"/>
        <v>42735</v>
      </c>
      <c r="Q9" s="66">
        <f t="shared" si="3"/>
        <v>43100</v>
      </c>
    </row>
    <row r="10" spans="1:17" hidden="1" outlineLevel="2">
      <c r="B10" s="56" t="s">
        <v>110</v>
      </c>
      <c r="J10" s="67">
        <f t="shared" ref="J10:Q10" si="4">YEAR(TS_Per_1_FY_End_Date)+INT((TS_Per_1_Number+J12-2)/TS_Pers_In_Yr)</f>
        <v>2010</v>
      </c>
      <c r="K10" s="67">
        <f t="shared" si="4"/>
        <v>2011</v>
      </c>
      <c r="L10" s="67">
        <f t="shared" si="4"/>
        <v>2012</v>
      </c>
      <c r="M10" s="67">
        <f t="shared" si="4"/>
        <v>2013</v>
      </c>
      <c r="N10" s="67">
        <f t="shared" si="4"/>
        <v>2014</v>
      </c>
      <c r="O10" s="67">
        <f t="shared" si="4"/>
        <v>2015</v>
      </c>
      <c r="P10" s="67">
        <f t="shared" si="4"/>
        <v>2016</v>
      </c>
      <c r="Q10" s="67">
        <f t="shared" si="4"/>
        <v>2017</v>
      </c>
    </row>
    <row r="11" spans="1:17" hidden="1" outlineLevel="2">
      <c r="B11" s="56" t="s">
        <v>111</v>
      </c>
      <c r="J11" s="68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68" t="str">
        <f t="shared" si="5"/>
        <v xml:space="preserve">Year </v>
      </c>
      <c r="L11" s="68" t="str">
        <f t="shared" si="5"/>
        <v xml:space="preserve">Year </v>
      </c>
      <c r="M11" s="68" t="str">
        <f t="shared" si="5"/>
        <v xml:space="preserve">Year </v>
      </c>
      <c r="N11" s="68" t="str">
        <f t="shared" si="5"/>
        <v xml:space="preserve">Year </v>
      </c>
      <c r="O11" s="68" t="str">
        <f t="shared" si="5"/>
        <v xml:space="preserve">Year </v>
      </c>
      <c r="P11" s="68" t="str">
        <f t="shared" si="5"/>
        <v xml:space="preserve">Year </v>
      </c>
      <c r="Q11" s="68" t="str">
        <f t="shared" si="5"/>
        <v xml:space="preserve">Year </v>
      </c>
    </row>
    <row r="12" spans="1:17" hidden="1" outlineLevel="2">
      <c r="B12" s="56" t="s">
        <v>112</v>
      </c>
      <c r="J12" s="69">
        <f>COLUMN(J12)-COLUMN($J12)+1</f>
        <v>1</v>
      </c>
      <c r="K12" s="69">
        <f t="shared" ref="K12:Q12" si="6">COLUMN(K12)-COLUMN($J12)+1</f>
        <v>2</v>
      </c>
      <c r="L12" s="69">
        <f t="shared" si="6"/>
        <v>3</v>
      </c>
      <c r="M12" s="69">
        <f t="shared" si="6"/>
        <v>4</v>
      </c>
      <c r="N12" s="69">
        <f t="shared" si="6"/>
        <v>5</v>
      </c>
      <c r="O12" s="69">
        <f t="shared" si="6"/>
        <v>6</v>
      </c>
      <c r="P12" s="69">
        <f t="shared" si="6"/>
        <v>7</v>
      </c>
      <c r="Q12" s="69">
        <f t="shared" si="6"/>
        <v>8</v>
      </c>
    </row>
    <row r="13" spans="1:17" hidden="1" outlineLevel="2">
      <c r="B13" s="70" t="s">
        <v>113</v>
      </c>
      <c r="C13" s="64"/>
      <c r="D13" s="64"/>
      <c r="E13" s="64"/>
      <c r="F13" s="64"/>
      <c r="G13" s="64"/>
      <c r="H13" s="64"/>
      <c r="I13" s="64"/>
      <c r="J13" s="71" t="str">
        <f>J10&amp;"-"&amp;J11</f>
        <v xml:space="preserve">2010-Year </v>
      </c>
      <c r="K13" s="71" t="str">
        <f t="shared" ref="K13:Q13" si="7">K10&amp;"-"&amp;K11</f>
        <v xml:space="preserve">2011-Year </v>
      </c>
      <c r="L13" s="71" t="str">
        <f t="shared" si="7"/>
        <v xml:space="preserve">2012-Year </v>
      </c>
      <c r="M13" s="71" t="str">
        <f t="shared" si="7"/>
        <v xml:space="preserve">2013-Year </v>
      </c>
      <c r="N13" s="71" t="str">
        <f t="shared" si="7"/>
        <v xml:space="preserve">2014-Year </v>
      </c>
      <c r="O13" s="71" t="str">
        <f t="shared" si="7"/>
        <v xml:space="preserve">2015-Year </v>
      </c>
      <c r="P13" s="71" t="str">
        <f t="shared" si="7"/>
        <v xml:space="preserve">2016-Year </v>
      </c>
      <c r="Q13" s="71" t="str">
        <f t="shared" si="7"/>
        <v xml:space="preserve">2017-Year </v>
      </c>
    </row>
    <row r="14" spans="1:17" collapsed="1"/>
    <row r="16" spans="1:17" ht="12.75">
      <c r="B16" s="72" t="s">
        <v>114</v>
      </c>
    </row>
    <row r="18" spans="3:17" ht="11.25">
      <c r="C18" s="73" t="s">
        <v>115</v>
      </c>
    </row>
    <row r="20" spans="3:17">
      <c r="D20" s="74" t="str">
        <f>"Funds Drawn ("&amp;INDEX(LU_Denom,DD_TS_Denom)&amp;")"</f>
        <v>Funds Drawn ($Millions)</v>
      </c>
    </row>
    <row r="22" spans="3:17">
      <c r="E22" s="75" t="s">
        <v>116</v>
      </c>
      <c r="J22" s="76">
        <v>50</v>
      </c>
      <c r="K22" s="77">
        <f>Fcast_TO!K101</f>
        <v>50</v>
      </c>
      <c r="L22" s="77">
        <f>Fcast_TO!L101</f>
        <v>50</v>
      </c>
      <c r="M22" s="77">
        <f>Fcast_TO!M101</f>
        <v>50</v>
      </c>
      <c r="N22" s="77">
        <f>Fcast_TO!N101</f>
        <v>50</v>
      </c>
      <c r="O22" s="77">
        <f>Fcast_TO!O101</f>
        <v>55</v>
      </c>
      <c r="P22" s="77">
        <f>Fcast_TO!P101</f>
        <v>55</v>
      </c>
      <c r="Q22" s="77">
        <f>Fcast_TO!Q101</f>
        <v>55</v>
      </c>
    </row>
    <row r="23" spans="3:17">
      <c r="E23" s="75" t="s">
        <v>117</v>
      </c>
      <c r="J23" s="76">
        <v>0</v>
      </c>
      <c r="K23" s="76">
        <v>0</v>
      </c>
      <c r="L23" s="76">
        <v>0</v>
      </c>
      <c r="M23" s="76">
        <v>0</v>
      </c>
      <c r="N23" s="76">
        <v>50</v>
      </c>
      <c r="O23" s="76">
        <v>0</v>
      </c>
      <c r="P23" s="76">
        <v>0</v>
      </c>
      <c r="Q23" s="76">
        <v>0</v>
      </c>
    </row>
    <row r="24" spans="3:17">
      <c r="E24" s="75" t="s">
        <v>118</v>
      </c>
      <c r="J24" s="76">
        <v>0</v>
      </c>
      <c r="K24" s="76">
        <v>0</v>
      </c>
      <c r="L24" s="76">
        <v>0</v>
      </c>
      <c r="M24" s="76">
        <v>0</v>
      </c>
      <c r="N24" s="76">
        <v>45</v>
      </c>
      <c r="O24" s="76">
        <v>0</v>
      </c>
      <c r="P24" s="76">
        <v>0</v>
      </c>
      <c r="Q24" s="76">
        <v>0</v>
      </c>
    </row>
    <row r="25" spans="3:17">
      <c r="E25" s="78" t="s">
        <v>119</v>
      </c>
      <c r="J25" s="79">
        <f>Fcast_TO!J104</f>
        <v>50</v>
      </c>
      <c r="K25" s="79">
        <f>Fcast_TO!K104</f>
        <v>50</v>
      </c>
      <c r="L25" s="79">
        <f>Fcast_TO!L104</f>
        <v>50</v>
      </c>
      <c r="M25" s="79">
        <f>Fcast_TO!M104</f>
        <v>50</v>
      </c>
      <c r="N25" s="79">
        <f>Fcast_TO!N104</f>
        <v>55</v>
      </c>
      <c r="O25" s="79">
        <f>Fcast_TO!O104</f>
        <v>55</v>
      </c>
      <c r="P25" s="79">
        <f>Fcast_TO!P104</f>
        <v>55</v>
      </c>
      <c r="Q25" s="79">
        <f>Fcast_TO!Q104</f>
        <v>55</v>
      </c>
    </row>
    <row r="27" spans="3:17">
      <c r="E27" s="75" t="s">
        <v>120</v>
      </c>
      <c r="J27" s="80">
        <v>0.5</v>
      </c>
      <c r="K27" s="80">
        <v>0.5</v>
      </c>
      <c r="L27" s="80">
        <v>0.5</v>
      </c>
      <c r="M27" s="80">
        <v>0.5</v>
      </c>
      <c r="N27" s="80">
        <v>0.5</v>
      </c>
      <c r="O27" s="80">
        <v>0.5</v>
      </c>
      <c r="P27" s="80">
        <v>0.5</v>
      </c>
      <c r="Q27" s="80">
        <v>0.5</v>
      </c>
    </row>
    <row r="29" spans="3:17">
      <c r="D29" s="78" t="s">
        <v>121</v>
      </c>
    </row>
    <row r="31" spans="3:17">
      <c r="E31" s="75" t="s">
        <v>122</v>
      </c>
      <c r="J31" s="76">
        <v>0</v>
      </c>
    </row>
    <row r="33" spans="3:17">
      <c r="E33" s="75" t="s">
        <v>123</v>
      </c>
      <c r="J33" s="81">
        <v>0.05</v>
      </c>
      <c r="K33" s="81">
        <v>0.05</v>
      </c>
      <c r="L33" s="81">
        <v>0.05</v>
      </c>
      <c r="M33" s="81">
        <v>0.05</v>
      </c>
      <c r="N33" s="81">
        <v>0.05</v>
      </c>
      <c r="O33" s="81">
        <v>0.05</v>
      </c>
      <c r="P33" s="81">
        <v>0.05</v>
      </c>
      <c r="Q33" s="81">
        <v>0.05</v>
      </c>
    </row>
    <row r="34" spans="3:17">
      <c r="E34" s="75" t="s">
        <v>124</v>
      </c>
      <c r="J34" s="81">
        <v>1.4999999999999999E-2</v>
      </c>
      <c r="K34" s="81">
        <v>1.4999999999999999E-2</v>
      </c>
      <c r="L34" s="81">
        <v>1.4999999999999999E-2</v>
      </c>
      <c r="M34" s="81">
        <v>1.4999999999999999E-2</v>
      </c>
      <c r="N34" s="81">
        <v>1.4999999999999999E-2</v>
      </c>
      <c r="O34" s="81">
        <v>1.4999999999999999E-2</v>
      </c>
      <c r="P34" s="81">
        <v>1.4999999999999999E-2</v>
      </c>
      <c r="Q34" s="81">
        <v>1.4999999999999999E-2</v>
      </c>
    </row>
    <row r="35" spans="3:17">
      <c r="E35" s="75" t="s">
        <v>125</v>
      </c>
      <c r="J35" s="82">
        <f t="shared" ref="J35:Q35" si="8">SUM(J33:J34)</f>
        <v>6.5000000000000002E-2</v>
      </c>
      <c r="K35" s="82">
        <f t="shared" si="8"/>
        <v>6.5000000000000002E-2</v>
      </c>
      <c r="L35" s="82">
        <f t="shared" si="8"/>
        <v>6.5000000000000002E-2</v>
      </c>
      <c r="M35" s="82">
        <f t="shared" si="8"/>
        <v>6.5000000000000002E-2</v>
      </c>
      <c r="N35" s="82">
        <f t="shared" si="8"/>
        <v>6.5000000000000002E-2</v>
      </c>
      <c r="O35" s="82">
        <f t="shared" si="8"/>
        <v>6.5000000000000002E-2</v>
      </c>
      <c r="P35" s="82">
        <f t="shared" si="8"/>
        <v>6.5000000000000002E-2</v>
      </c>
      <c r="Q35" s="82">
        <f t="shared" si="8"/>
        <v>6.5000000000000002E-2</v>
      </c>
    </row>
    <row r="37" spans="3:17" ht="11.25">
      <c r="C37" s="73" t="s">
        <v>126</v>
      </c>
    </row>
    <row r="39" spans="3:17">
      <c r="D39" s="74" t="str">
        <f>"Ordinary Equity Balances"&amp;" ("&amp;INDEX(LU_Denom,DD_TS_Denom)&amp;")"</f>
        <v>Ordinary Equity Balances ($Millions)</v>
      </c>
    </row>
    <row r="41" spans="3:17">
      <c r="E41" s="75" t="s">
        <v>116</v>
      </c>
      <c r="J41" s="76">
        <v>75</v>
      </c>
      <c r="K41" s="77">
        <f>Fcast_TO!K127</f>
        <v>75</v>
      </c>
      <c r="L41" s="77">
        <f>Fcast_TO!L127</f>
        <v>75</v>
      </c>
      <c r="M41" s="77">
        <f>Fcast_TO!M127</f>
        <v>75</v>
      </c>
      <c r="N41" s="77">
        <f>Fcast_TO!N127</f>
        <v>75</v>
      </c>
      <c r="O41" s="77">
        <f>Fcast_TO!O127</f>
        <v>75</v>
      </c>
      <c r="P41" s="77">
        <f>Fcast_TO!P127</f>
        <v>75</v>
      </c>
      <c r="Q41" s="77">
        <f>Fcast_TO!Q127</f>
        <v>75</v>
      </c>
    </row>
    <row r="42" spans="3:17">
      <c r="E42" s="75" t="s">
        <v>127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3:17">
      <c r="E43" s="75" t="s">
        <v>128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3:17">
      <c r="E44" s="78" t="s">
        <v>129</v>
      </c>
      <c r="J44" s="79">
        <f>Fcast_TO!J130</f>
        <v>75</v>
      </c>
      <c r="K44" s="79">
        <f>Fcast_TO!K130</f>
        <v>75</v>
      </c>
      <c r="L44" s="79">
        <f>Fcast_TO!L130</f>
        <v>75</v>
      </c>
      <c r="M44" s="79">
        <f>Fcast_TO!M130</f>
        <v>75</v>
      </c>
      <c r="N44" s="79">
        <f>Fcast_TO!N130</f>
        <v>75</v>
      </c>
      <c r="O44" s="79">
        <f>Fcast_TO!O130</f>
        <v>75</v>
      </c>
      <c r="P44" s="79">
        <f>Fcast_TO!P130</f>
        <v>75</v>
      </c>
      <c r="Q44" s="79">
        <f>Fcast_TO!Q130</f>
        <v>75</v>
      </c>
    </row>
    <row r="46" spans="3:17">
      <c r="D46" s="78" t="s">
        <v>130</v>
      </c>
    </row>
    <row r="48" spans="3:17">
      <c r="E48" s="75" t="s">
        <v>116</v>
      </c>
      <c r="J48" s="76">
        <v>0</v>
      </c>
    </row>
    <row r="50" spans="2:17" ht="15.75" customHeight="1">
      <c r="E50" s="75" t="s">
        <v>131</v>
      </c>
      <c r="J50" s="83">
        <v>1</v>
      </c>
    </row>
    <row r="52" spans="2:17">
      <c r="E52" s="75" t="s">
        <v>132</v>
      </c>
      <c r="J52" s="84" t="s">
        <v>133</v>
      </c>
      <c r="K52" s="84" t="s">
        <v>133</v>
      </c>
      <c r="L52" s="84" t="s">
        <v>133</v>
      </c>
      <c r="M52" s="84" t="s">
        <v>133</v>
      </c>
      <c r="N52" s="84" t="s">
        <v>133</v>
      </c>
      <c r="O52" s="84" t="s">
        <v>133</v>
      </c>
      <c r="P52" s="84" t="s">
        <v>133</v>
      </c>
      <c r="Q52" s="84" t="s">
        <v>133</v>
      </c>
    </row>
    <row r="53" spans="2:17">
      <c r="E53" s="85" t="str">
        <f>"Dividend Payout Ratio - "&amp;IF(DD_Eq_Ord_Div_Meth=1,INDEX(LU_Eq_Ord_Div_Meth,DD_Eq_Ord_Div_Meth),"Not Applied")</f>
        <v>Dividend Payout Ratio - % of NPAT</v>
      </c>
      <c r="J53" s="80">
        <v>0.5</v>
      </c>
      <c r="K53" s="80">
        <v>0.5</v>
      </c>
      <c r="L53" s="80">
        <v>0.5</v>
      </c>
      <c r="M53" s="80">
        <v>0.5</v>
      </c>
      <c r="N53" s="80">
        <v>0.5</v>
      </c>
      <c r="O53" s="80">
        <v>0.5</v>
      </c>
      <c r="P53" s="80">
        <v>0.5</v>
      </c>
      <c r="Q53" s="80">
        <v>0.5</v>
      </c>
    </row>
    <row r="54" spans="2:17">
      <c r="E54" s="85" t="str">
        <f>"Assumed Dividends "&amp;IF(DD_Eq_Ord_Div_Meth=2,"("&amp;INDEX(LU_Denom,DD_TS_Denom)&amp;")","- Not Applied")</f>
        <v>Assumed Dividends - Not Applied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6" spans="2:17" ht="17.25" customHeight="1">
      <c r="E56" s="83" t="b">
        <v>0</v>
      </c>
    </row>
    <row r="57" spans="2:17" ht="17.25" customHeight="1">
      <c r="E57" s="83" t="b">
        <v>0</v>
      </c>
    </row>
    <row r="59" spans="2:17">
      <c r="D59" s="78" t="s">
        <v>32</v>
      </c>
    </row>
    <row r="60" spans="2:17">
      <c r="D60" s="86">
        <v>1</v>
      </c>
      <c r="E60" s="75" t="s">
        <v>134</v>
      </c>
    </row>
    <row r="61" spans="2:17">
      <c r="D61" s="86">
        <v>2</v>
      </c>
      <c r="E61" s="75" t="s">
        <v>135</v>
      </c>
    </row>
    <row r="64" spans="2:17" ht="12.75">
      <c r="B64" s="72" t="s">
        <v>136</v>
      </c>
    </row>
    <row r="66" spans="3:12" ht="11.25">
      <c r="C66" s="87" t="str">
        <f>"Tax Payable ("&amp;INDEX(LU_Denom,DD_TS_Denom)&amp;")"</f>
        <v>Tax Payable ($Millions)</v>
      </c>
    </row>
    <row r="68" spans="3:12">
      <c r="D68" s="75" t="s">
        <v>137</v>
      </c>
      <c r="J68" s="76">
        <v>3.5</v>
      </c>
    </row>
    <row r="69" spans="3:12">
      <c r="D69" s="75"/>
    </row>
    <row r="70" spans="3:12" ht="11.25">
      <c r="C70" s="73" t="s">
        <v>138</v>
      </c>
    </row>
    <row r="72" spans="3:12">
      <c r="D72" s="75" t="s">
        <v>139</v>
      </c>
      <c r="J72" s="80">
        <v>0.3</v>
      </c>
    </row>
    <row r="74" spans="3:12">
      <c r="C74" s="78" t="s">
        <v>32</v>
      </c>
    </row>
    <row r="75" spans="3:12">
      <c r="C75" s="86">
        <v>1</v>
      </c>
      <c r="D75" s="75" t="s">
        <v>140</v>
      </c>
    </row>
    <row r="76" spans="3:12">
      <c r="C76" s="86">
        <v>2</v>
      </c>
      <c r="D76" s="75" t="s">
        <v>141</v>
      </c>
    </row>
    <row r="77" spans="3:12" ht="10.5" customHeight="1">
      <c r="C77" s="86">
        <v>3</v>
      </c>
      <c r="D77" s="275" t="s">
        <v>142</v>
      </c>
      <c r="E77" s="275"/>
      <c r="F77" s="275"/>
      <c r="G77" s="275"/>
      <c r="H77" s="275"/>
      <c r="I77" s="275"/>
      <c r="J77" s="275"/>
      <c r="K77" s="275"/>
      <c r="L77" s="88"/>
    </row>
    <row r="78" spans="3:12">
      <c r="D78" s="275"/>
      <c r="E78" s="275"/>
      <c r="F78" s="275"/>
      <c r="G78" s="275"/>
      <c r="H78" s="275"/>
      <c r="I78" s="275"/>
      <c r="J78" s="275"/>
      <c r="K78" s="275"/>
      <c r="L78" s="88"/>
    </row>
    <row r="81" spans="2:17" ht="12.75">
      <c r="B81" s="72" t="s">
        <v>143</v>
      </c>
    </row>
    <row r="83" spans="2:17" ht="11.25">
      <c r="C83" s="87" t="str">
        <f>"Cash at Bank ("&amp;INDEX(LU_Denom,DD_TS_Denom)&amp;")"</f>
        <v>Cash at Bank ($Millions)</v>
      </c>
    </row>
    <row r="85" spans="2:17">
      <c r="D85" s="75" t="s">
        <v>144</v>
      </c>
      <c r="J85" s="76">
        <v>15</v>
      </c>
    </row>
    <row r="87" spans="2:17" ht="11.25">
      <c r="C87" s="87" t="str">
        <f>"Other Balance Sheet Items ("&amp;INDEX(LU_Denom,DD_TS_Denom)&amp;")"</f>
        <v>Other Balance Sheet Items ($Millions)</v>
      </c>
    </row>
    <row r="88" spans="2:17" ht="11.25" thickBot="1">
      <c r="I88" s="89" t="s">
        <v>145</v>
      </c>
    </row>
    <row r="89" spans="2:17">
      <c r="D89" s="75" t="s">
        <v>146</v>
      </c>
      <c r="I89" s="90">
        <v>2</v>
      </c>
      <c r="J89" s="76">
        <v>3</v>
      </c>
      <c r="K89" s="76">
        <v>4</v>
      </c>
      <c r="L89" s="76">
        <v>5</v>
      </c>
      <c r="M89" s="76">
        <v>6</v>
      </c>
      <c r="N89" s="76">
        <v>7</v>
      </c>
      <c r="O89" s="76">
        <v>8</v>
      </c>
      <c r="P89" s="76">
        <v>9</v>
      </c>
      <c r="Q89" s="76">
        <v>10</v>
      </c>
    </row>
    <row r="90" spans="2:17">
      <c r="D90" s="75" t="s">
        <v>147</v>
      </c>
      <c r="I90" s="90">
        <v>3</v>
      </c>
      <c r="J90" s="76">
        <v>4</v>
      </c>
      <c r="K90" s="76">
        <v>5</v>
      </c>
      <c r="L90" s="76">
        <v>6</v>
      </c>
      <c r="M90" s="76">
        <v>7</v>
      </c>
      <c r="N90" s="76">
        <v>8</v>
      </c>
      <c r="O90" s="76">
        <v>9</v>
      </c>
      <c r="P90" s="76">
        <v>10</v>
      </c>
      <c r="Q90" s="76">
        <v>11</v>
      </c>
    </row>
    <row r="91" spans="2:17">
      <c r="D91" s="75" t="s">
        <v>148</v>
      </c>
      <c r="I91" s="90">
        <v>4</v>
      </c>
      <c r="J91" s="76">
        <v>5</v>
      </c>
      <c r="K91" s="76">
        <v>6</v>
      </c>
      <c r="L91" s="76">
        <v>7</v>
      </c>
      <c r="M91" s="76">
        <v>8</v>
      </c>
      <c r="N91" s="76">
        <v>9</v>
      </c>
      <c r="O91" s="76">
        <v>10</v>
      </c>
      <c r="P91" s="76">
        <v>11</v>
      </c>
      <c r="Q91" s="76">
        <v>12</v>
      </c>
    </row>
    <row r="92" spans="2:17">
      <c r="D92" s="75" t="s">
        <v>149</v>
      </c>
      <c r="I92" s="90">
        <v>5</v>
      </c>
      <c r="J92" s="76">
        <v>6</v>
      </c>
      <c r="K92" s="76">
        <v>7</v>
      </c>
      <c r="L92" s="76">
        <v>8</v>
      </c>
      <c r="M92" s="76">
        <v>9</v>
      </c>
      <c r="N92" s="76">
        <v>10</v>
      </c>
      <c r="O92" s="76">
        <v>11</v>
      </c>
      <c r="P92" s="76">
        <v>12</v>
      </c>
      <c r="Q92" s="76">
        <v>13</v>
      </c>
    </row>
    <row r="94" spans="2:17">
      <c r="D94" s="78" t="s">
        <v>32</v>
      </c>
    </row>
    <row r="95" spans="2:17">
      <c r="D95" s="86">
        <v>1</v>
      </c>
      <c r="E95" s="85" t="str">
        <f>"Opening balance assumptions are specified in "&amp;INDEX(LU_Denom,DD_TS_Denom)&amp;"."</f>
        <v>Opening balance assumptions are specified in $Millions.</v>
      </c>
    </row>
    <row r="96" spans="2:17">
      <c r="D96" s="86">
        <v>2</v>
      </c>
      <c r="E96" s="75" t="s">
        <v>150</v>
      </c>
    </row>
    <row r="97" spans="4:5">
      <c r="D97" s="86">
        <v>3</v>
      </c>
      <c r="E97" s="75" t="s">
        <v>151</v>
      </c>
    </row>
    <row r="98" spans="4:5">
      <c r="D98" s="86">
        <v>4</v>
      </c>
      <c r="E98" s="75" t="s">
        <v>152</v>
      </c>
    </row>
  </sheetData>
  <mergeCells count="2">
    <mergeCell ref="B3:F3"/>
    <mergeCell ref="D77:K78"/>
  </mergeCells>
  <conditionalFormatting sqref="J52:Q52">
    <cfRule type="cellIs" dxfId="55" priority="3" stopIfTrue="1" operator="equal">
      <formula>"Yes"</formula>
    </cfRule>
  </conditionalFormatting>
  <conditionalFormatting sqref="J53:Q53">
    <cfRule type="expression" dxfId="54" priority="2" stopIfTrue="1">
      <formula>OR(DD_Eq_Ord_Div_Meth&lt;&gt;1,J52&lt;&gt;"Yes")</formula>
    </cfRule>
  </conditionalFormatting>
  <conditionalFormatting sqref="J54:Q54">
    <cfRule type="expression" dxfId="53" priority="1" stopIfTrue="1">
      <formula>OR(DD_Eq_Ord_Div_Meth&lt;&gt;2,J52&lt;&gt;"Yes")</formula>
    </cfRule>
  </conditionalFormatting>
  <dataValidations count="21">
    <dataValidation type="decimal" operator="greaterThanOrEqual" allowBlank="1" showDropDown="1" showInputMessage="1" showErrorMessage="1" errorTitle="Invalid Assumption" error="Assumption must be a value greater than or equal to zero." promptTitle="Opening Balance" prompt="The asset, liability or equity balance as at the model start date." sqref="I89:I92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Cash at Bank" prompt="Cash at bank as at the model start date." sqref="J85">
      <formula1>0</formula1>
    </dataValidation>
    <dataValidation type="custom" showErrorMessage="1" errorTitle="Invalid Assumption" error="Assumption must be a number." sqref="J89:Q92">
      <formula1>NOT(ISERROR(J89/1))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Tax Payable" prompt="Represents the opening value of the tax payable liability." sqref="J68">
      <formula1>0</formula1>
    </dataValidation>
    <dataValidation type="decimal" allowBlank="1" showDropDown="1" showInputMessage="1" showErrorMessage="1" errorTitle="Invalid Assumption" error="The margin percentage cannot be less than 0% or greater than 100% in any period." promptTitle="Margin" prompt="Represents the margin applicable to the debt drawn on the current debt category for the current period" sqref="J34:Q34">
      <formula1>0</formula1>
      <formula2>1</formula2>
    </dataValidation>
    <dataValidation type="decimal" allowBlank="1" showDropDown="1" showInputMessage="1" showErrorMessage="1" errorTitle="Invalid Assumption" error="The base interest rate percentage cannot be less than 0% or greater than 100% in any period." promptTitle="Base Interest Rate" prompt="Represents the base interest rate applicable to the debt drawn on the current debt category for the current period" sqref="J33:Q33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Interest Payable Balance" prompt="Represents the value of interest payable  as at the start of the current time series." sqref="J31">
      <formula1>0</formula1>
    </dataValidation>
    <dataValidation type="decimal" showDropDown="1" showErrorMessage="1" errorTitle="Invalid Assumption" error="The &quot;Drawdowns/Repayments % into Period&quot; percentage cannot be less than 0% or greater than 100% in any period." sqref="J27:Q27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Debt Repayments" prompt="Represents the value of debt repaid during the current period." sqref="J24:Q2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Debt Drawdowns" prompt="Represents the value of debt drawn down during the current period." sqref="J23:Q2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ebt Balance" prompt="Represents the value of debt as at the start of the current time series." sqref="J22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Assumed Dividends" prompt="Represents the value of Dividends Payable as at the end of the current period." sqref="J54:Q54">
      <formula1>0</formula1>
    </dataValidation>
    <dataValidation type="decimal" showDropDown="1" showErrorMessage="1" errorTitle="Invalid Assumption" error="The Dividend Payout Ratio percentage cannot be less than 0% or greater than 100% in any period." sqref="J53:Q53">
      <formula1>0</formula1>
      <formula2>1</formula2>
    </dataValidation>
    <dataValidation type="whole" showDropDown="1" showErrorMessage="1" errorTitle="Drop Down Box Cell Link" error="The value in a drop down box cell link must be a whole number within the control's lookup range rows." sqref="J50">
      <formula1>1</formula1>
      <formula2>ROWS(LU_Eq_Ord_Div_Meth )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ividends Payable" prompt="Represents the value of dividends payable as at the start of the current time series." sqref="J48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epayments" prompt="Represents the value of equity repaid during the current period." sqref="J43:Q4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aisings" prompt="Represents the value of equity raised during the current period." sqref="J42:Q42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Ordinary Equity Balance" prompt="Represents the value of ordinary equity as at the start of the current time series." sqref="J41">
      <formula1>0</formula1>
    </dataValidation>
    <dataValidation type="list" showErrorMessage="1" errorTitle="Invalid Assumption" error="A &quot;Yes&quot; Or &quot;No&quot; must be entered for each period indicating whether or not dividends are declared in that period." sqref="J52:Q52">
      <formula1>"Yes,No"</formula1>
    </dataValidation>
    <dataValidation type="custom" showDropDown="1" showErrorMessage="1" errorTitle="Check Box Cell Link" error="The value in an option button cell link must be either &quot;TRUE&quot; or &quot;FALSE&quot;" sqref="E56:E57">
      <formula1>ISLOGICAL(E56)</formula1>
    </dataValidation>
    <dataValidation type="decimal" showDropDown="1" showInputMessage="1" showErrorMessage="1" errorTitle="Invalid Assumption" error="The Corporate Taxation Rate percentage cannot be less than 0% or greater than 100% in any period." promptTitle="Corporate Taxation Rate" prompt="Tax rate applied to all tax calculations in the model." sqref="J72">
      <formula1>0</formula1>
      <formula2>1</formula2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rowBreaks count="3" manualBreakCount="3">
    <brk id="36" min="1" max="16" man="1"/>
    <brk id="63" min="1" max="16" man="1"/>
    <brk id="80" min="1" max="16" man="1"/>
  </rowBreaks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153</v>
      </c>
    </row>
    <row r="10" spans="3:7" ht="16.5">
      <c r="C10" s="12" t="s">
        <v>154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28</v>
      </c>
    </row>
    <row r="18" spans="3:3">
      <c r="C18" s="15" t="s">
        <v>155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156</v>
      </c>
    </row>
    <row r="10" spans="3:7" ht="16.5">
      <c r="C10" s="12" t="s">
        <v>157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158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213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153</v>
      </c>
    </row>
    <row r="2" spans="1:17" ht="15">
      <c r="B2" s="7" t="str">
        <f>Model_Name</f>
        <v>SMA 13. Multiple Workbooks - Best Practice Model Example 1</v>
      </c>
    </row>
    <row r="3" spans="1:17">
      <c r="B3" s="241" t="s">
        <v>1</v>
      </c>
      <c r="C3" s="241"/>
      <c r="D3" s="241"/>
      <c r="E3" s="241"/>
      <c r="F3" s="241"/>
    </row>
    <row r="4" spans="1:17" ht="12.75">
      <c r="A4" s="91" t="s">
        <v>10</v>
      </c>
      <c r="B4" s="13" t="s">
        <v>26</v>
      </c>
      <c r="C4" s="14" t="s">
        <v>27</v>
      </c>
      <c r="D4" s="92" t="s">
        <v>38</v>
      </c>
      <c r="E4" s="92" t="s">
        <v>39</v>
      </c>
      <c r="F4" s="93" t="s">
        <v>40</v>
      </c>
    </row>
    <row r="6" spans="1:17">
      <c r="B6" s="94" t="str">
        <f>IF(TS_Pers_In_Yr=1,"",TS_Per_Type_Name&amp;" Ending")</f>
        <v/>
      </c>
      <c r="J6" s="95" t="str">
        <f t="shared" ref="J6:Q6" si="0">IF(TS_Pers_In_Yr=1,"",LEFT(INDEX(LU_Mth_Names,MONTH(J9)),3)&amp;"-"&amp;RIGHT(YEAR(J9),2))&amp;" "</f>
        <v xml:space="preserve"> </v>
      </c>
      <c r="K6" s="95" t="str">
        <f t="shared" si="0"/>
        <v xml:space="preserve"> </v>
      </c>
      <c r="L6" s="95" t="str">
        <f t="shared" si="0"/>
        <v xml:space="preserve"> </v>
      </c>
      <c r="M6" s="95" t="str">
        <f t="shared" si="0"/>
        <v xml:space="preserve"> </v>
      </c>
      <c r="N6" s="95" t="str">
        <f t="shared" si="0"/>
        <v xml:space="preserve"> </v>
      </c>
      <c r="O6" s="95" t="str">
        <f t="shared" si="0"/>
        <v xml:space="preserve"> </v>
      </c>
      <c r="P6" s="95" t="str">
        <f t="shared" si="0"/>
        <v xml:space="preserve"> </v>
      </c>
      <c r="Q6" s="95" t="str">
        <f t="shared" si="0"/>
        <v xml:space="preserve"> </v>
      </c>
    </row>
    <row r="7" spans="1:17">
      <c r="B7" s="96" t="str">
        <f>IF(TS_Pers_In_Yr=1,Yr_Name&amp;" Ending "&amp;DAY(TS_Per_1_End_Date)&amp;" "&amp;INDEX(LU_Mth_Names,DD_TS_Fin_YE_Mth),TS_Per_Type_Name)</f>
        <v>Year Ending 31 December</v>
      </c>
      <c r="C7" s="97"/>
      <c r="D7" s="97"/>
      <c r="E7" s="97"/>
      <c r="F7" s="97"/>
      <c r="G7" s="97"/>
      <c r="H7" s="97"/>
      <c r="I7" s="97"/>
      <c r="J7" s="98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98" t="str">
        <f t="shared" si="1"/>
        <v xml:space="preserve">2011 (F) </v>
      </c>
      <c r="L7" s="98" t="str">
        <f t="shared" si="1"/>
        <v xml:space="preserve">2012 (F) </v>
      </c>
      <c r="M7" s="98" t="str">
        <f t="shared" si="1"/>
        <v xml:space="preserve">2013 (F) </v>
      </c>
      <c r="N7" s="98" t="str">
        <f t="shared" si="1"/>
        <v xml:space="preserve">2014 (F) </v>
      </c>
      <c r="O7" s="98" t="str">
        <f t="shared" si="1"/>
        <v xml:space="preserve">2015 (F) </v>
      </c>
      <c r="P7" s="98" t="str">
        <f t="shared" si="1"/>
        <v xml:space="preserve">2016 (F) </v>
      </c>
      <c r="Q7" s="98" t="str">
        <f t="shared" si="1"/>
        <v xml:space="preserve">2017 (F) </v>
      </c>
    </row>
    <row r="8" spans="1:17" hidden="1" outlineLevel="2">
      <c r="B8" s="15" t="s">
        <v>108</v>
      </c>
      <c r="J8" s="99">
        <f t="shared" ref="J8:Q8" si="2">IF(J12=1,TS_Start_Date,I9+1)</f>
        <v>40179</v>
      </c>
      <c r="K8" s="99">
        <f t="shared" si="2"/>
        <v>40544</v>
      </c>
      <c r="L8" s="99">
        <f t="shared" si="2"/>
        <v>40909</v>
      </c>
      <c r="M8" s="99">
        <f t="shared" si="2"/>
        <v>41275</v>
      </c>
      <c r="N8" s="99">
        <f t="shared" si="2"/>
        <v>41640</v>
      </c>
      <c r="O8" s="99">
        <f t="shared" si="2"/>
        <v>42005</v>
      </c>
      <c r="P8" s="99">
        <f t="shared" si="2"/>
        <v>42370</v>
      </c>
      <c r="Q8" s="99">
        <f t="shared" si="2"/>
        <v>42736</v>
      </c>
    </row>
    <row r="9" spans="1:17" hidden="1" outlineLevel="2">
      <c r="B9" s="15" t="s">
        <v>109</v>
      </c>
      <c r="J9" s="9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99">
        <f t="shared" si="3"/>
        <v>40908</v>
      </c>
      <c r="L9" s="99">
        <f t="shared" si="3"/>
        <v>41274</v>
      </c>
      <c r="M9" s="99">
        <f t="shared" si="3"/>
        <v>41639</v>
      </c>
      <c r="N9" s="99">
        <f t="shared" si="3"/>
        <v>42004</v>
      </c>
      <c r="O9" s="99">
        <f t="shared" si="3"/>
        <v>42369</v>
      </c>
      <c r="P9" s="99">
        <f t="shared" si="3"/>
        <v>42735</v>
      </c>
      <c r="Q9" s="99">
        <f t="shared" si="3"/>
        <v>43100</v>
      </c>
    </row>
    <row r="10" spans="1:17" hidden="1" outlineLevel="2">
      <c r="B10" s="15" t="s">
        <v>110</v>
      </c>
      <c r="J10" s="100">
        <f t="shared" ref="J10:Q10" si="4">YEAR(TS_Per_1_FY_End_Date)+INT((TS_Per_1_Number+J12-2)/TS_Pers_In_Yr)</f>
        <v>2010</v>
      </c>
      <c r="K10" s="100">
        <f t="shared" si="4"/>
        <v>2011</v>
      </c>
      <c r="L10" s="100">
        <f t="shared" si="4"/>
        <v>2012</v>
      </c>
      <c r="M10" s="100">
        <f t="shared" si="4"/>
        <v>2013</v>
      </c>
      <c r="N10" s="100">
        <f t="shared" si="4"/>
        <v>2014</v>
      </c>
      <c r="O10" s="100">
        <f t="shared" si="4"/>
        <v>2015</v>
      </c>
      <c r="P10" s="100">
        <f t="shared" si="4"/>
        <v>2016</v>
      </c>
      <c r="Q10" s="100">
        <f t="shared" si="4"/>
        <v>2017</v>
      </c>
    </row>
    <row r="11" spans="1:17" hidden="1" outlineLevel="2">
      <c r="B11" s="15" t="s">
        <v>111</v>
      </c>
      <c r="J11" s="10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1" t="str">
        <f t="shared" si="5"/>
        <v xml:space="preserve">Year </v>
      </c>
      <c r="L11" s="101" t="str">
        <f t="shared" si="5"/>
        <v xml:space="preserve">Year </v>
      </c>
      <c r="M11" s="101" t="str">
        <f t="shared" si="5"/>
        <v xml:space="preserve">Year </v>
      </c>
      <c r="N11" s="101" t="str">
        <f t="shared" si="5"/>
        <v xml:space="preserve">Year </v>
      </c>
      <c r="O11" s="101" t="str">
        <f t="shared" si="5"/>
        <v xml:space="preserve">Year </v>
      </c>
      <c r="P11" s="101" t="str">
        <f t="shared" si="5"/>
        <v xml:space="preserve">Year </v>
      </c>
      <c r="Q11" s="101" t="str">
        <f t="shared" si="5"/>
        <v xml:space="preserve">Year </v>
      </c>
    </row>
    <row r="12" spans="1:17" hidden="1" outlineLevel="2">
      <c r="B12" s="15" t="s">
        <v>112</v>
      </c>
      <c r="J12" s="102">
        <f>COLUMN(J12)-COLUMN($J12)+1</f>
        <v>1</v>
      </c>
      <c r="K12" s="102">
        <f t="shared" ref="K12:Q12" si="6">COLUMN(K12)-COLUMN($J12)+1</f>
        <v>2</v>
      </c>
      <c r="L12" s="102">
        <f t="shared" si="6"/>
        <v>3</v>
      </c>
      <c r="M12" s="102">
        <f t="shared" si="6"/>
        <v>4</v>
      </c>
      <c r="N12" s="102">
        <f t="shared" si="6"/>
        <v>5</v>
      </c>
      <c r="O12" s="102">
        <f t="shared" si="6"/>
        <v>6</v>
      </c>
      <c r="P12" s="102">
        <f t="shared" si="6"/>
        <v>7</v>
      </c>
      <c r="Q12" s="102">
        <f t="shared" si="6"/>
        <v>8</v>
      </c>
    </row>
    <row r="13" spans="1:17" hidden="1" outlineLevel="2">
      <c r="B13" s="103" t="s">
        <v>113</v>
      </c>
      <c r="C13" s="97"/>
      <c r="D13" s="97"/>
      <c r="E13" s="97"/>
      <c r="F13" s="97"/>
      <c r="G13" s="97"/>
      <c r="H13" s="97"/>
      <c r="I13" s="97"/>
      <c r="J13" s="104" t="str">
        <f>J10&amp;"-"&amp;J11</f>
        <v xml:space="preserve">2010-Year </v>
      </c>
      <c r="K13" s="104" t="str">
        <f t="shared" ref="K13:Q13" si="7">K10&amp;"-"&amp;K11</f>
        <v xml:space="preserve">2011-Year </v>
      </c>
      <c r="L13" s="104" t="str">
        <f t="shared" si="7"/>
        <v xml:space="preserve">2012-Year </v>
      </c>
      <c r="M13" s="104" t="str">
        <f t="shared" si="7"/>
        <v xml:space="preserve">2013-Year </v>
      </c>
      <c r="N13" s="104" t="str">
        <f t="shared" si="7"/>
        <v xml:space="preserve">2014-Year </v>
      </c>
      <c r="O13" s="104" t="str">
        <f t="shared" si="7"/>
        <v xml:space="preserve">2015-Year </v>
      </c>
      <c r="P13" s="104" t="str">
        <f t="shared" si="7"/>
        <v xml:space="preserve">2016-Year </v>
      </c>
      <c r="Q13" s="104" t="str">
        <f t="shared" si="7"/>
        <v xml:space="preserve">2017-Year </v>
      </c>
    </row>
    <row r="14" spans="1:17" collapsed="1"/>
    <row r="16" spans="1:17" ht="12.75">
      <c r="B16" s="105" t="str">
        <f>Model_Exports_MI_TO!B16</f>
        <v>Operational - Outputs</v>
      </c>
    </row>
    <row r="18" spans="2:17">
      <c r="C18" s="6" t="str">
        <f>Model_Exports_MI_TO!C18</f>
        <v>Revenue</v>
      </c>
      <c r="J18" s="106">
        <f>Model_Exports_MI_TO!J18</f>
        <v>125</v>
      </c>
      <c r="K18" s="106">
        <f>Model_Exports_MI_TO!K18</f>
        <v>128.125</v>
      </c>
      <c r="L18" s="106">
        <f>Model_Exports_MI_TO!L18</f>
        <v>131.328125</v>
      </c>
      <c r="M18" s="106">
        <f>Model_Exports_MI_TO!M18</f>
        <v>134.611328125</v>
      </c>
      <c r="N18" s="106">
        <f>Model_Exports_MI_TO!N18</f>
        <v>137.97661132812499</v>
      </c>
      <c r="O18" s="106">
        <f>Model_Exports_MI_TO!O18</f>
        <v>141.4260266113281</v>
      </c>
      <c r="P18" s="106">
        <f>Model_Exports_MI_TO!P18</f>
        <v>144.96167727661128</v>
      </c>
      <c r="Q18" s="106">
        <f>Model_Exports_MI_TO!Q18</f>
        <v>148.58571920852654</v>
      </c>
    </row>
    <row r="19" spans="2:17">
      <c r="C19" s="6" t="str">
        <f>Model_Exports_MI_TO!C19</f>
        <v>Cost of Goods Sold</v>
      </c>
      <c r="J19" s="106">
        <f>Model_Exports_MI_TO!J19</f>
        <v>25</v>
      </c>
      <c r="K19" s="106">
        <f>Model_Exports_MI_TO!K19</f>
        <v>25.624999999999996</v>
      </c>
      <c r="L19" s="106">
        <f>Model_Exports_MI_TO!L19</f>
        <v>26.265624999999993</v>
      </c>
      <c r="M19" s="106">
        <f>Model_Exports_MI_TO!M19</f>
        <v>26.922265624999991</v>
      </c>
      <c r="N19" s="106">
        <f>Model_Exports_MI_TO!N19</f>
        <v>27.59532226562499</v>
      </c>
      <c r="O19" s="106">
        <f>Model_Exports_MI_TO!O19</f>
        <v>28.285205322265611</v>
      </c>
      <c r="P19" s="106">
        <f>Model_Exports_MI_TO!P19</f>
        <v>28.992335455322248</v>
      </c>
      <c r="Q19" s="106">
        <f>Model_Exports_MI_TO!Q19</f>
        <v>29.717143841705301</v>
      </c>
    </row>
    <row r="20" spans="2:17">
      <c r="C20" s="6" t="str">
        <f>Model_Exports_MI_TO!C20</f>
        <v>Operating Expenditure</v>
      </c>
      <c r="J20" s="106">
        <f>Model_Exports_MI_TO!J20</f>
        <v>40</v>
      </c>
      <c r="K20" s="106">
        <f>Model_Exports_MI_TO!K20</f>
        <v>41</v>
      </c>
      <c r="L20" s="106">
        <f>Model_Exports_MI_TO!L20</f>
        <v>42.024999999999999</v>
      </c>
      <c r="M20" s="106">
        <f>Model_Exports_MI_TO!M20</f>
        <v>43.075624999999995</v>
      </c>
      <c r="N20" s="106">
        <f>Model_Exports_MI_TO!N20</f>
        <v>44.152515624999992</v>
      </c>
      <c r="O20" s="106">
        <f>Model_Exports_MI_TO!O20</f>
        <v>45.256328515624986</v>
      </c>
      <c r="P20" s="106">
        <f>Model_Exports_MI_TO!P20</f>
        <v>46.387736728515605</v>
      </c>
      <c r="Q20" s="106">
        <f>Model_Exports_MI_TO!Q20</f>
        <v>47.547430146728495</v>
      </c>
    </row>
    <row r="21" spans="2:17">
      <c r="C21" s="6" t="str">
        <f>Model_Exports_MI_TO!C21</f>
        <v>Capital Expenditure - Assets</v>
      </c>
      <c r="J21" s="106">
        <f>Model_Exports_MI_TO!J21</f>
        <v>15</v>
      </c>
      <c r="K21" s="106">
        <f>Model_Exports_MI_TO!K21</f>
        <v>15.374999999999998</v>
      </c>
      <c r="L21" s="106">
        <f>Model_Exports_MI_TO!L21</f>
        <v>15.759374999999997</v>
      </c>
      <c r="M21" s="106">
        <f>Model_Exports_MI_TO!M21</f>
        <v>16.153359374999994</v>
      </c>
      <c r="N21" s="106">
        <f>Model_Exports_MI_TO!N21</f>
        <v>16.557193359374992</v>
      </c>
      <c r="O21" s="106">
        <f>Model_Exports_MI_TO!O21</f>
        <v>16.971123193359364</v>
      </c>
      <c r="P21" s="106">
        <f>Model_Exports_MI_TO!P21</f>
        <v>17.395401273193347</v>
      </c>
      <c r="Q21" s="106">
        <f>Model_Exports_MI_TO!Q21</f>
        <v>17.830286305023179</v>
      </c>
    </row>
    <row r="22" spans="2:17">
      <c r="C22" s="6" t="str">
        <f>Model_Exports_MI_TO!C22</f>
        <v>Capital Expenditure - Intangibles</v>
      </c>
      <c r="J22" s="106">
        <f>Model_Exports_MI_TO!J22</f>
        <v>2.5</v>
      </c>
      <c r="K22" s="106">
        <f>Model_Exports_MI_TO!K22</f>
        <v>2.5625</v>
      </c>
      <c r="L22" s="106">
        <f>Model_Exports_MI_TO!L22</f>
        <v>2.6265624999999999</v>
      </c>
      <c r="M22" s="106">
        <f>Model_Exports_MI_TO!M22</f>
        <v>2.6922265624999997</v>
      </c>
      <c r="N22" s="106">
        <f>Model_Exports_MI_TO!N22</f>
        <v>2.7595322265624995</v>
      </c>
      <c r="O22" s="106">
        <f>Model_Exports_MI_TO!O22</f>
        <v>2.8285205322265616</v>
      </c>
      <c r="P22" s="106">
        <f>Model_Exports_MI_TO!P22</f>
        <v>2.8992335455322253</v>
      </c>
      <c r="Q22" s="106">
        <f>Model_Exports_MI_TO!Q22</f>
        <v>2.9717143841705309</v>
      </c>
    </row>
    <row r="23" spans="2:17">
      <c r="C23" s="6"/>
      <c r="J23" s="106"/>
      <c r="K23" s="106"/>
      <c r="L23" s="106"/>
      <c r="M23" s="106"/>
      <c r="N23" s="106"/>
      <c r="O23" s="106"/>
      <c r="P23" s="106"/>
      <c r="Q23" s="106"/>
    </row>
    <row r="24" spans="2:17">
      <c r="C24" s="107" t="s">
        <v>32</v>
      </c>
      <c r="D24" s="108"/>
      <c r="J24" s="106"/>
      <c r="K24" s="106"/>
      <c r="L24" s="106"/>
      <c r="M24" s="106"/>
      <c r="N24" s="106"/>
      <c r="O24" s="106"/>
      <c r="P24" s="106"/>
      <c r="Q24" s="106"/>
    </row>
    <row r="25" spans="2:17">
      <c r="C25" s="109">
        <v>1</v>
      </c>
      <c r="D25" s="110" t="s">
        <v>159</v>
      </c>
      <c r="J25" s="106"/>
      <c r="K25" s="106"/>
      <c r="L25" s="106"/>
      <c r="M25" s="106"/>
      <c r="N25" s="106"/>
      <c r="O25" s="106"/>
      <c r="P25" s="106"/>
      <c r="Q25" s="106"/>
    </row>
    <row r="26" spans="2:17">
      <c r="C26" s="109">
        <v>2</v>
      </c>
      <c r="D26" s="111" t="str">
        <f>"Revenue and expense amounts are specified in "&amp;INDEX(LU_Denom,DD_TS_Denom)&amp;"."</f>
        <v>Revenue and expense amounts are specified in $Millions.</v>
      </c>
      <c r="J26" s="106"/>
      <c r="K26" s="106"/>
      <c r="L26" s="106"/>
      <c r="M26" s="106"/>
      <c r="N26" s="106"/>
      <c r="O26" s="106"/>
      <c r="P26" s="106"/>
      <c r="Q26" s="106"/>
    </row>
    <row r="29" spans="2:17" ht="12.75">
      <c r="B29" s="105" t="str">
        <f>Model_Exports_MI_TO!B25</f>
        <v>Working Capital - Outputs</v>
      </c>
    </row>
    <row r="30" spans="2:17" ht="12.75">
      <c r="B30" s="112"/>
    </row>
    <row r="31" spans="2:17" ht="11.25">
      <c r="C31" s="113" t="str">
        <f>Model_Exports_MI_TO!C27</f>
        <v>Accounts Receivable Balances ($Millions)</v>
      </c>
    </row>
    <row r="33" spans="3:17">
      <c r="D33" s="6" t="str">
        <f>Model_Exports_MI_TO!D29</f>
        <v>Opening Balance</v>
      </c>
      <c r="J33" s="106">
        <f>Model_Exports_MI_TO!J29</f>
        <v>21</v>
      </c>
      <c r="K33" s="106">
        <f>Model_Exports_MI_TO!K29</f>
        <v>10.273972602739725</v>
      </c>
      <c r="L33" s="106">
        <f>Model_Exports_MI_TO!L29</f>
        <v>10.530821917808218</v>
      </c>
      <c r="M33" s="106">
        <f>Model_Exports_MI_TO!M29</f>
        <v>10.764600409836065</v>
      </c>
      <c r="N33" s="106">
        <f>Model_Exports_MI_TO!N29</f>
        <v>11.063944777397261</v>
      </c>
      <c r="O33" s="106">
        <f>Model_Exports_MI_TO!O29</f>
        <v>11.340543396832192</v>
      </c>
      <c r="P33" s="106">
        <f>Model_Exports_MI_TO!P29</f>
        <v>11.624056981752995</v>
      </c>
      <c r="Q33" s="106">
        <f>Model_Exports_MI_TO!Q29</f>
        <v>11.882104694804204</v>
      </c>
    </row>
    <row r="34" spans="3:17">
      <c r="D34" s="6" t="str">
        <f>Model_Exports_MI_TO!D30</f>
        <v>Revenue</v>
      </c>
      <c r="J34" s="106">
        <f>Model_Exports_MI_TO!J30</f>
        <v>125</v>
      </c>
      <c r="K34" s="106">
        <f>Model_Exports_MI_TO!K30</f>
        <v>128.125</v>
      </c>
      <c r="L34" s="106">
        <f>Model_Exports_MI_TO!L30</f>
        <v>131.328125</v>
      </c>
      <c r="M34" s="106">
        <f>Model_Exports_MI_TO!M30</f>
        <v>134.611328125</v>
      </c>
      <c r="N34" s="106">
        <f>Model_Exports_MI_TO!N30</f>
        <v>137.97661132812499</v>
      </c>
      <c r="O34" s="106">
        <f>Model_Exports_MI_TO!O30</f>
        <v>141.4260266113281</v>
      </c>
      <c r="P34" s="106">
        <f>Model_Exports_MI_TO!P30</f>
        <v>144.96167727661128</v>
      </c>
      <c r="Q34" s="106">
        <f>Model_Exports_MI_TO!Q30</f>
        <v>148.58571920852654</v>
      </c>
    </row>
    <row r="35" spans="3:17" s="10" customFormat="1">
      <c r="D35" s="114" t="str">
        <f>Model_Exports_MI_TO!D31</f>
        <v>Cash Receipts</v>
      </c>
      <c r="J35" s="115">
        <f>Model_Exports_MI_TO!J31</f>
        <v>-135.72602739726028</v>
      </c>
      <c r="K35" s="115">
        <f>Model_Exports_MI_TO!K31</f>
        <v>-127.86815068493149</v>
      </c>
      <c r="L35" s="115">
        <f>Model_Exports_MI_TO!L31</f>
        <v>-131.09434650797215</v>
      </c>
      <c r="M35" s="115">
        <f>Model_Exports_MI_TO!M31</f>
        <v>-134.31198375743881</v>
      </c>
      <c r="N35" s="115">
        <f>Model_Exports_MI_TO!N31</f>
        <v>-137.70001270869005</v>
      </c>
      <c r="O35" s="115">
        <f>Model_Exports_MI_TO!O31</f>
        <v>-141.1425130264073</v>
      </c>
      <c r="P35" s="115">
        <f>Model_Exports_MI_TO!P31</f>
        <v>-144.70362956356007</v>
      </c>
      <c r="Q35" s="115">
        <f>Model_Exports_MI_TO!Q31</f>
        <v>-148.25529903687652</v>
      </c>
    </row>
    <row r="36" spans="3:17" hidden="1" outlineLevel="2">
      <c r="D36" s="116" t="str">
        <f>Model_Exports_MI_TO!D32</f>
        <v>Movement in Accounts Receivable</v>
      </c>
      <c r="J36" s="117">
        <f>Model_Exports_MI_TO!J32</f>
        <v>-10.726027397260282</v>
      </c>
      <c r="K36" s="117">
        <f>Model_Exports_MI_TO!K32</f>
        <v>0.25684931506850717</v>
      </c>
      <c r="L36" s="117">
        <f>Model_Exports_MI_TO!L32</f>
        <v>0.23377849202785228</v>
      </c>
      <c r="M36" s="117">
        <f>Model_Exports_MI_TO!M32</f>
        <v>0.29934436756118998</v>
      </c>
      <c r="N36" s="117">
        <f>Model_Exports_MI_TO!N32</f>
        <v>0.27659861943493524</v>
      </c>
      <c r="O36" s="117">
        <f>Model_Exports_MI_TO!O32</f>
        <v>0.28351358492079726</v>
      </c>
      <c r="P36" s="117">
        <f>Model_Exports_MI_TO!P32</f>
        <v>0.25804771305121221</v>
      </c>
      <c r="Q36" s="117">
        <f>Model_Exports_MI_TO!Q32</f>
        <v>0.3304201716500188</v>
      </c>
    </row>
    <row r="37" spans="3:17" collapsed="1">
      <c r="D37" s="118" t="str">
        <f>Model_Exports_MI_TO!D33</f>
        <v>Closing Balance</v>
      </c>
      <c r="J37" s="119">
        <f>Model_Exports_MI_TO!J33</f>
        <v>10.273972602739725</v>
      </c>
      <c r="K37" s="119">
        <f>Model_Exports_MI_TO!K33</f>
        <v>10.530821917808218</v>
      </c>
      <c r="L37" s="119">
        <f>Model_Exports_MI_TO!L33</f>
        <v>10.764600409836065</v>
      </c>
      <c r="M37" s="119">
        <f>Model_Exports_MI_TO!M33</f>
        <v>11.063944777397261</v>
      </c>
      <c r="N37" s="119">
        <f>Model_Exports_MI_TO!N33</f>
        <v>11.340543396832192</v>
      </c>
      <c r="O37" s="119">
        <f>Model_Exports_MI_TO!O33</f>
        <v>11.624056981752995</v>
      </c>
      <c r="P37" s="119">
        <f>Model_Exports_MI_TO!P33</f>
        <v>11.882104694804204</v>
      </c>
      <c r="Q37" s="119">
        <f>Model_Exports_MI_TO!Q33</f>
        <v>12.212524866454237</v>
      </c>
    </row>
    <row r="39" spans="3:17" hidden="1" outlineLevel="2">
      <c r="E39" s="5" t="s">
        <v>160</v>
      </c>
      <c r="J39" s="120">
        <f t="shared" ref="J39:Q39" si="8">IF(ISERROR(J33+J36-J37),1,0)</f>
        <v>0</v>
      </c>
      <c r="K39" s="120">
        <f t="shared" si="8"/>
        <v>0</v>
      </c>
      <c r="L39" s="120">
        <f t="shared" si="8"/>
        <v>0</v>
      </c>
      <c r="M39" s="120">
        <f t="shared" si="8"/>
        <v>0</v>
      </c>
      <c r="N39" s="120">
        <f t="shared" si="8"/>
        <v>0</v>
      </c>
      <c r="O39" s="120">
        <f t="shared" si="8"/>
        <v>0</v>
      </c>
      <c r="P39" s="120">
        <f t="shared" si="8"/>
        <v>0</v>
      </c>
      <c r="Q39" s="120">
        <f t="shared" si="8"/>
        <v>0</v>
      </c>
    </row>
    <row r="40" spans="3:17" hidden="1" outlineLevel="2">
      <c r="E40" s="5" t="s">
        <v>161</v>
      </c>
      <c r="J40" s="121">
        <f t="shared" ref="J40:Q40" si="9">IF(J39&lt;&gt;0,0,(ROUND(J33+J36-J37,5)&lt;&gt;0)*1)</f>
        <v>0</v>
      </c>
      <c r="K40" s="121">
        <f t="shared" si="9"/>
        <v>0</v>
      </c>
      <c r="L40" s="121">
        <f t="shared" si="9"/>
        <v>0</v>
      </c>
      <c r="M40" s="121">
        <f t="shared" si="9"/>
        <v>0</v>
      </c>
      <c r="N40" s="121">
        <f t="shared" si="9"/>
        <v>0</v>
      </c>
      <c r="O40" s="121">
        <f t="shared" si="9"/>
        <v>0</v>
      </c>
      <c r="P40" s="121">
        <f t="shared" si="9"/>
        <v>0</v>
      </c>
      <c r="Q40" s="121">
        <f t="shared" si="9"/>
        <v>0</v>
      </c>
    </row>
    <row r="41" spans="3:17" hidden="1" outlineLevel="2">
      <c r="E41" s="5" t="s">
        <v>162</v>
      </c>
      <c r="J41" s="121">
        <f t="shared" ref="J41:Q41" si="10">IF(ISERROR(J35),0,(ROUND(MAX(J35),5)&gt;0)*1)</f>
        <v>0</v>
      </c>
      <c r="K41" s="121">
        <f t="shared" si="10"/>
        <v>0</v>
      </c>
      <c r="L41" s="121">
        <f t="shared" si="10"/>
        <v>0</v>
      </c>
      <c r="M41" s="121">
        <f t="shared" si="10"/>
        <v>0</v>
      </c>
      <c r="N41" s="121">
        <f t="shared" si="10"/>
        <v>0</v>
      </c>
      <c r="O41" s="121">
        <f t="shared" si="10"/>
        <v>0</v>
      </c>
      <c r="P41" s="121">
        <f t="shared" si="10"/>
        <v>0</v>
      </c>
      <c r="Q41" s="121">
        <f t="shared" si="10"/>
        <v>0</v>
      </c>
    </row>
    <row r="42" spans="3:17" hidden="1" outlineLevel="2">
      <c r="E42" s="5" t="s">
        <v>163</v>
      </c>
      <c r="J42" s="122">
        <f t="shared" ref="J42:Q42" si="11">IF(ISERROR(J37),0,(ROUND(MIN(J37),5)&lt;0)*1)</f>
        <v>0</v>
      </c>
      <c r="K42" s="122">
        <f t="shared" si="11"/>
        <v>0</v>
      </c>
      <c r="L42" s="122">
        <f t="shared" si="11"/>
        <v>0</v>
      </c>
      <c r="M42" s="122">
        <f t="shared" si="11"/>
        <v>0</v>
      </c>
      <c r="N42" s="122">
        <f t="shared" si="11"/>
        <v>0</v>
      </c>
      <c r="O42" s="122">
        <f t="shared" si="11"/>
        <v>0</v>
      </c>
      <c r="P42" s="122">
        <f t="shared" si="11"/>
        <v>0</v>
      </c>
      <c r="Q42" s="122">
        <f t="shared" si="11"/>
        <v>0</v>
      </c>
    </row>
    <row r="43" spans="3:17" collapsed="1">
      <c r="D43" s="5" t="s">
        <v>164</v>
      </c>
      <c r="I43" s="123">
        <f>IF(ISERROR(SUM(J43:Q43)),0,MIN(SUM(J43:Q43),1))</f>
        <v>0</v>
      </c>
      <c r="J43" s="120">
        <f t="shared" ref="J43:Q43" si="12">MIN(SUM(J39:J42),1)</f>
        <v>0</v>
      </c>
      <c r="K43" s="120">
        <f t="shared" si="12"/>
        <v>0</v>
      </c>
      <c r="L43" s="120">
        <f t="shared" si="12"/>
        <v>0</v>
      </c>
      <c r="M43" s="120">
        <f t="shared" si="12"/>
        <v>0</v>
      </c>
      <c r="N43" s="120">
        <f t="shared" si="12"/>
        <v>0</v>
      </c>
      <c r="O43" s="120">
        <f t="shared" si="12"/>
        <v>0</v>
      </c>
      <c r="P43" s="120">
        <f t="shared" si="12"/>
        <v>0</v>
      </c>
      <c r="Q43" s="120">
        <f t="shared" si="12"/>
        <v>0</v>
      </c>
    </row>
    <row r="45" spans="3:17" ht="11.25">
      <c r="C45" s="113" t="str">
        <f>Model_Exports_MI_TO!C35</f>
        <v>Accounts Payable Balances ($Millions)</v>
      </c>
    </row>
    <row r="46" spans="3:17" ht="11.25">
      <c r="C46" s="124"/>
    </row>
    <row r="47" spans="3:17">
      <c r="D47" s="6" t="str">
        <f>Model_Exports_MI_TO!D37</f>
        <v>Opening Balance</v>
      </c>
      <c r="J47" s="106">
        <f>Model_Exports_MI_TO!J37</f>
        <v>16</v>
      </c>
      <c r="K47" s="106">
        <f>Model_Exports_MI_TO!K37</f>
        <v>8.0136986301369859</v>
      </c>
      <c r="L47" s="106">
        <f>Model_Exports_MI_TO!L37</f>
        <v>8.2140410958904102</v>
      </c>
      <c r="M47" s="106">
        <f>Model_Exports_MI_TO!M37</f>
        <v>8.3963883196721305</v>
      </c>
      <c r="N47" s="106">
        <f>Model_Exports_MI_TO!N37</f>
        <v>8.629876926369862</v>
      </c>
      <c r="O47" s="106">
        <f>Model_Exports_MI_TO!O37</f>
        <v>8.8456238495291082</v>
      </c>
      <c r="P47" s="106">
        <f>Model_Exports_MI_TO!P37</f>
        <v>9.0667644457673351</v>
      </c>
      <c r="Q47" s="106">
        <f>Model_Exports_MI_TO!Q37</f>
        <v>9.2680416619472759</v>
      </c>
    </row>
    <row r="48" spans="3:17">
      <c r="D48" s="6" t="str">
        <f>Model_Exports_MI_TO!D38</f>
        <v>Costs</v>
      </c>
      <c r="J48" s="106">
        <f>Model_Exports_MI_TO!J38</f>
        <v>65</v>
      </c>
      <c r="K48" s="106">
        <f>Model_Exports_MI_TO!K38</f>
        <v>66.625</v>
      </c>
      <c r="L48" s="106">
        <f>Model_Exports_MI_TO!L38</f>
        <v>68.290624999999991</v>
      </c>
      <c r="M48" s="106">
        <f>Model_Exports_MI_TO!M38</f>
        <v>69.997890624999982</v>
      </c>
      <c r="N48" s="106">
        <f>Model_Exports_MI_TO!N38</f>
        <v>71.747837890624979</v>
      </c>
      <c r="O48" s="106">
        <f>Model_Exports_MI_TO!O38</f>
        <v>73.541533837890597</v>
      </c>
      <c r="P48" s="106">
        <f>Model_Exports_MI_TO!P38</f>
        <v>75.380072183837854</v>
      </c>
      <c r="Q48" s="106">
        <f>Model_Exports_MI_TO!Q38</f>
        <v>77.264573988433796</v>
      </c>
    </row>
    <row r="49" spans="2:17" s="10" customFormat="1">
      <c r="D49" s="114" t="str">
        <f>Model_Exports_MI_TO!D39</f>
        <v>Cash Payments</v>
      </c>
      <c r="J49" s="115">
        <f>Model_Exports_MI_TO!J39</f>
        <v>-72.986301369863014</v>
      </c>
      <c r="K49" s="115">
        <f>Model_Exports_MI_TO!K39</f>
        <v>-66.424657534246577</v>
      </c>
      <c r="L49" s="115">
        <f>Model_Exports_MI_TO!L39</f>
        <v>-68.108277776218273</v>
      </c>
      <c r="M49" s="115">
        <f>Model_Exports_MI_TO!M39</f>
        <v>-69.764402018302249</v>
      </c>
      <c r="N49" s="115">
        <f>Model_Exports_MI_TO!N39</f>
        <v>-71.532090967465734</v>
      </c>
      <c r="O49" s="115">
        <f>Model_Exports_MI_TO!O39</f>
        <v>-73.320393241652368</v>
      </c>
      <c r="P49" s="115">
        <f>Model_Exports_MI_TO!P39</f>
        <v>-75.178794967657907</v>
      </c>
      <c r="Q49" s="115">
        <f>Model_Exports_MI_TO!Q39</f>
        <v>-77.006846254546772</v>
      </c>
    </row>
    <row r="50" spans="2:17" hidden="1" outlineLevel="2">
      <c r="D50" s="116" t="str">
        <f>Model_Exports_MI_TO!D40</f>
        <v>Movement in Accounts Payable</v>
      </c>
      <c r="J50" s="117">
        <f>Model_Exports_MI_TO!J40</f>
        <v>-7.9863013698630141</v>
      </c>
      <c r="K50" s="117">
        <f>Model_Exports_MI_TO!K40</f>
        <v>0.20034246575342252</v>
      </c>
      <c r="L50" s="117">
        <f>Model_Exports_MI_TO!L40</f>
        <v>0.18234722378171853</v>
      </c>
      <c r="M50" s="117">
        <f>Model_Exports_MI_TO!M40</f>
        <v>0.2334886066977333</v>
      </c>
      <c r="N50" s="117">
        <f>Model_Exports_MI_TO!N40</f>
        <v>0.21574692315924437</v>
      </c>
      <c r="O50" s="117">
        <f>Model_Exports_MI_TO!O40</f>
        <v>0.22114059623822868</v>
      </c>
      <c r="P50" s="117">
        <f>Model_Exports_MI_TO!P40</f>
        <v>0.20127721617994609</v>
      </c>
      <c r="Q50" s="117">
        <f>Model_Exports_MI_TO!Q40</f>
        <v>0.25772773388702319</v>
      </c>
    </row>
    <row r="51" spans="2:17" collapsed="1">
      <c r="D51" s="118" t="str">
        <f>Model_Exports_MI_TO!D41</f>
        <v>Closing Balance</v>
      </c>
      <c r="J51" s="119">
        <f>Model_Exports_MI_TO!J41</f>
        <v>8.0136986301369859</v>
      </c>
      <c r="K51" s="119">
        <f>Model_Exports_MI_TO!K41</f>
        <v>8.2140410958904102</v>
      </c>
      <c r="L51" s="119">
        <f>Model_Exports_MI_TO!L41</f>
        <v>8.3963883196721305</v>
      </c>
      <c r="M51" s="119">
        <f>Model_Exports_MI_TO!M41</f>
        <v>8.629876926369862</v>
      </c>
      <c r="N51" s="119">
        <f>Model_Exports_MI_TO!N41</f>
        <v>8.8456238495291082</v>
      </c>
      <c r="O51" s="119">
        <f>Model_Exports_MI_TO!O41</f>
        <v>9.0667644457673351</v>
      </c>
      <c r="P51" s="119">
        <f>Model_Exports_MI_TO!P41</f>
        <v>9.2680416619472759</v>
      </c>
      <c r="Q51" s="119">
        <f>Model_Exports_MI_TO!Q41</f>
        <v>9.5257693958343044</v>
      </c>
    </row>
    <row r="53" spans="2:17" hidden="1" outlineLevel="2">
      <c r="E53" s="5" t="s">
        <v>160</v>
      </c>
      <c r="J53" s="120">
        <f t="shared" ref="J53:Q53" si="13">IF(ISERROR(J47+J50-J51),1,0)</f>
        <v>0</v>
      </c>
      <c r="K53" s="120">
        <f t="shared" si="13"/>
        <v>0</v>
      </c>
      <c r="L53" s="120">
        <f t="shared" si="13"/>
        <v>0</v>
      </c>
      <c r="M53" s="120">
        <f t="shared" si="13"/>
        <v>0</v>
      </c>
      <c r="N53" s="120">
        <f t="shared" si="13"/>
        <v>0</v>
      </c>
      <c r="O53" s="120">
        <f t="shared" si="13"/>
        <v>0</v>
      </c>
      <c r="P53" s="120">
        <f t="shared" si="13"/>
        <v>0</v>
      </c>
      <c r="Q53" s="120">
        <f t="shared" si="13"/>
        <v>0</v>
      </c>
    </row>
    <row r="54" spans="2:17" hidden="1" outlineLevel="2">
      <c r="E54" s="5" t="s">
        <v>161</v>
      </c>
      <c r="J54" s="121">
        <f t="shared" ref="J54:Q54" si="14">IF(J53&lt;&gt;0,0,(ROUND(J47+J50-J51,5)&lt;&gt;0)*1)</f>
        <v>0</v>
      </c>
      <c r="K54" s="121">
        <f t="shared" si="14"/>
        <v>0</v>
      </c>
      <c r="L54" s="121">
        <f t="shared" si="14"/>
        <v>0</v>
      </c>
      <c r="M54" s="121">
        <f t="shared" si="14"/>
        <v>0</v>
      </c>
      <c r="N54" s="121">
        <f t="shared" si="14"/>
        <v>0</v>
      </c>
      <c r="O54" s="121">
        <f t="shared" si="14"/>
        <v>0</v>
      </c>
      <c r="P54" s="121">
        <f t="shared" si="14"/>
        <v>0</v>
      </c>
      <c r="Q54" s="121">
        <f t="shared" si="14"/>
        <v>0</v>
      </c>
    </row>
    <row r="55" spans="2:17" hidden="1" outlineLevel="2">
      <c r="E55" s="5" t="s">
        <v>165</v>
      </c>
      <c r="J55" s="121">
        <f t="shared" ref="J55:Q55" si="15">IF(ISERROR(J49),0,(ROUND(MAX(J49),5)&gt;0)*1)</f>
        <v>0</v>
      </c>
      <c r="K55" s="121">
        <f t="shared" si="15"/>
        <v>0</v>
      </c>
      <c r="L55" s="121">
        <f t="shared" si="15"/>
        <v>0</v>
      </c>
      <c r="M55" s="121">
        <f t="shared" si="15"/>
        <v>0</v>
      </c>
      <c r="N55" s="121">
        <f t="shared" si="15"/>
        <v>0</v>
      </c>
      <c r="O55" s="121">
        <f t="shared" si="15"/>
        <v>0</v>
      </c>
      <c r="P55" s="121">
        <f t="shared" si="15"/>
        <v>0</v>
      </c>
      <c r="Q55" s="121">
        <f t="shared" si="15"/>
        <v>0</v>
      </c>
    </row>
    <row r="56" spans="2:17" hidden="1" outlineLevel="2">
      <c r="E56" s="5" t="s">
        <v>163</v>
      </c>
      <c r="J56" s="122">
        <f t="shared" ref="J56:Q56" si="16">IF(ISERROR(J51),0,(ROUND(MIN(J51),5)&lt;0)*1)</f>
        <v>0</v>
      </c>
      <c r="K56" s="122">
        <f t="shared" si="16"/>
        <v>0</v>
      </c>
      <c r="L56" s="122">
        <f t="shared" si="16"/>
        <v>0</v>
      </c>
      <c r="M56" s="122">
        <f t="shared" si="16"/>
        <v>0</v>
      </c>
      <c r="N56" s="122">
        <f t="shared" si="16"/>
        <v>0</v>
      </c>
      <c r="O56" s="122">
        <f t="shared" si="16"/>
        <v>0</v>
      </c>
      <c r="P56" s="122">
        <f t="shared" si="16"/>
        <v>0</v>
      </c>
      <c r="Q56" s="122">
        <f t="shared" si="16"/>
        <v>0</v>
      </c>
    </row>
    <row r="57" spans="2:17" collapsed="1">
      <c r="D57" s="5" t="s">
        <v>164</v>
      </c>
      <c r="I57" s="123">
        <f>IF(ISERROR(SUM(J57:Q57)),0,MIN(SUM(J57:Q57),1))</f>
        <v>0</v>
      </c>
      <c r="J57" s="120">
        <f t="shared" ref="J57:Q57" si="17">MIN(SUM(J53:J56),1)</f>
        <v>0</v>
      </c>
      <c r="K57" s="120">
        <f t="shared" si="17"/>
        <v>0</v>
      </c>
      <c r="L57" s="120">
        <f t="shared" si="17"/>
        <v>0</v>
      </c>
      <c r="M57" s="120">
        <f t="shared" si="17"/>
        <v>0</v>
      </c>
      <c r="N57" s="120">
        <f t="shared" si="17"/>
        <v>0</v>
      </c>
      <c r="O57" s="120">
        <f t="shared" si="17"/>
        <v>0</v>
      </c>
      <c r="P57" s="120">
        <f t="shared" si="17"/>
        <v>0</v>
      </c>
      <c r="Q57" s="120">
        <f t="shared" si="17"/>
        <v>0</v>
      </c>
    </row>
    <row r="59" spans="2:17">
      <c r="C59" s="107" t="s">
        <v>32</v>
      </c>
      <c r="D59" s="108"/>
    </row>
    <row r="60" spans="2:17">
      <c r="C60" s="109">
        <v>1</v>
      </c>
      <c r="D60" s="110" t="s">
        <v>166</v>
      </c>
    </row>
    <row r="61" spans="2:17">
      <c r="C61" s="109">
        <v>2</v>
      </c>
      <c r="D61" s="111" t="str">
        <f>"Working capital amounts are specified in "&amp;INDEX(LU_Denom,DD_TS_Denom)&amp;"."</f>
        <v>Working capital amounts are specified in $Millions.</v>
      </c>
    </row>
    <row r="64" spans="2:17" ht="12.75">
      <c r="B64" s="105" t="str">
        <f>Model_Exports_MI_TO!B44</f>
        <v>Assets - Outputs</v>
      </c>
    </row>
    <row r="66" spans="3:17" ht="11.25">
      <c r="C66" s="113" t="str">
        <f>Model_Exports_MI_TO!C46</f>
        <v>Assets Balances ($Millions)</v>
      </c>
    </row>
    <row r="68" spans="3:17">
      <c r="D68" s="6" t="str">
        <f>Model_Exports_MI_TO!D48</f>
        <v>Opening Balance</v>
      </c>
      <c r="J68" s="106">
        <f>Model_Exports_MI_TO!J48</f>
        <v>145</v>
      </c>
      <c r="K68" s="106">
        <f>Model_Exports_MI_TO!K48</f>
        <v>146.5</v>
      </c>
      <c r="L68" s="106">
        <f>Model_Exports_MI_TO!L48</f>
        <v>148.03749999999999</v>
      </c>
      <c r="M68" s="106">
        <f>Model_Exports_MI_TO!M48</f>
        <v>149.6134375</v>
      </c>
      <c r="N68" s="106">
        <f>Model_Exports_MI_TO!N48</f>
        <v>151.22877343750002</v>
      </c>
      <c r="O68" s="106">
        <f>Model_Exports_MI_TO!O48</f>
        <v>152.88449277343753</v>
      </c>
      <c r="P68" s="106">
        <f>Model_Exports_MI_TO!P48</f>
        <v>154.58160509277349</v>
      </c>
      <c r="Q68" s="106">
        <f>Model_Exports_MI_TO!Q48</f>
        <v>156.32114522009283</v>
      </c>
    </row>
    <row r="69" spans="3:17">
      <c r="D69" s="6" t="str">
        <f>Model_Exports_MI_TO!D49</f>
        <v>Capital Expenditure - Assets</v>
      </c>
      <c r="J69" s="106">
        <f>Model_Exports_MI_TO!J49</f>
        <v>15</v>
      </c>
      <c r="K69" s="106">
        <f>Model_Exports_MI_TO!K49</f>
        <v>15.374999999999998</v>
      </c>
      <c r="L69" s="106">
        <f>Model_Exports_MI_TO!L49</f>
        <v>15.759374999999997</v>
      </c>
      <c r="M69" s="106">
        <f>Model_Exports_MI_TO!M49</f>
        <v>16.153359374999994</v>
      </c>
      <c r="N69" s="106">
        <f>Model_Exports_MI_TO!N49</f>
        <v>16.557193359374992</v>
      </c>
      <c r="O69" s="106">
        <f>Model_Exports_MI_TO!O49</f>
        <v>16.971123193359364</v>
      </c>
      <c r="P69" s="106">
        <f>Model_Exports_MI_TO!P49</f>
        <v>17.395401273193347</v>
      </c>
      <c r="Q69" s="106">
        <f>Model_Exports_MI_TO!Q49</f>
        <v>17.830286305023179</v>
      </c>
    </row>
    <row r="70" spans="3:17" hidden="1" outlineLevel="2">
      <c r="D70" s="6" t="str">
        <f>Model_Exports_MI_TO!D50</f>
        <v>Depreciation - % of Capital Expenditure</v>
      </c>
      <c r="J70" s="125">
        <f>Model_Exports_MI_TO!J50</f>
        <v>0.9</v>
      </c>
      <c r="K70" s="125">
        <f>Model_Exports_MI_TO!K50</f>
        <v>0.9</v>
      </c>
      <c r="L70" s="125">
        <f>Model_Exports_MI_TO!L50</f>
        <v>0.9</v>
      </c>
      <c r="M70" s="125">
        <f>Model_Exports_MI_TO!M50</f>
        <v>0.9</v>
      </c>
      <c r="N70" s="125">
        <f>Model_Exports_MI_TO!N50</f>
        <v>0.9</v>
      </c>
      <c r="O70" s="125">
        <f>Model_Exports_MI_TO!O50</f>
        <v>0.9</v>
      </c>
      <c r="P70" s="125">
        <f>Model_Exports_MI_TO!P50</f>
        <v>0.9</v>
      </c>
      <c r="Q70" s="125">
        <f>Model_Exports_MI_TO!Q50</f>
        <v>0.9</v>
      </c>
    </row>
    <row r="71" spans="3:17" s="10" customFormat="1" collapsed="1">
      <c r="D71" s="114" t="str">
        <f>Model_Exports_MI_TO!D51</f>
        <v>Depreciation</v>
      </c>
      <c r="J71" s="115">
        <f>Model_Exports_MI_TO!J51</f>
        <v>-13.5</v>
      </c>
      <c r="K71" s="115">
        <f>Model_Exports_MI_TO!K51</f>
        <v>-13.837499999999999</v>
      </c>
      <c r="L71" s="115">
        <f>Model_Exports_MI_TO!L51</f>
        <v>-14.183437499999997</v>
      </c>
      <c r="M71" s="115">
        <f>Model_Exports_MI_TO!M51</f>
        <v>-14.538023437499994</v>
      </c>
      <c r="N71" s="115">
        <f>Model_Exports_MI_TO!N51</f>
        <v>-14.901474023437492</v>
      </c>
      <c r="O71" s="115">
        <f>Model_Exports_MI_TO!O51</f>
        <v>-15.274010874023428</v>
      </c>
      <c r="P71" s="115">
        <f>Model_Exports_MI_TO!P51</f>
        <v>-15.655861145874013</v>
      </c>
      <c r="Q71" s="115">
        <f>Model_Exports_MI_TO!Q51</f>
        <v>-16.047257674520861</v>
      </c>
    </row>
    <row r="72" spans="3:17">
      <c r="D72" s="118" t="str">
        <f>Model_Exports_MI_TO!D52</f>
        <v>Closing Balance</v>
      </c>
      <c r="J72" s="119">
        <f>Model_Exports_MI_TO!J52</f>
        <v>146.5</v>
      </c>
      <c r="K72" s="119">
        <f>Model_Exports_MI_TO!K52</f>
        <v>148.03749999999999</v>
      </c>
      <c r="L72" s="119">
        <f>Model_Exports_MI_TO!L52</f>
        <v>149.6134375</v>
      </c>
      <c r="M72" s="119">
        <f>Model_Exports_MI_TO!M52</f>
        <v>151.22877343750002</v>
      </c>
      <c r="N72" s="119">
        <f>Model_Exports_MI_TO!N52</f>
        <v>152.88449277343753</v>
      </c>
      <c r="O72" s="119">
        <f>Model_Exports_MI_TO!O52</f>
        <v>154.58160509277349</v>
      </c>
      <c r="P72" s="119">
        <f>Model_Exports_MI_TO!P52</f>
        <v>156.32114522009283</v>
      </c>
      <c r="Q72" s="119">
        <f>Model_Exports_MI_TO!Q52</f>
        <v>158.10417385059515</v>
      </c>
    </row>
    <row r="74" spans="3:17" hidden="1" outlineLevel="2">
      <c r="E74" s="5" t="s">
        <v>160</v>
      </c>
      <c r="J74" s="120">
        <f>IF(ISERROR(J72-(J68+J69+J71)),1,0)</f>
        <v>0</v>
      </c>
      <c r="K74" s="120">
        <f t="shared" ref="K74:Q74" si="18">IF(ISERROR(K72-(K68+K69+K71)),1,0)</f>
        <v>0</v>
      </c>
      <c r="L74" s="120">
        <f t="shared" si="18"/>
        <v>0</v>
      </c>
      <c r="M74" s="120">
        <f t="shared" si="18"/>
        <v>0</v>
      </c>
      <c r="N74" s="120">
        <f t="shared" si="18"/>
        <v>0</v>
      </c>
      <c r="O74" s="120">
        <f t="shared" si="18"/>
        <v>0</v>
      </c>
      <c r="P74" s="120">
        <f t="shared" si="18"/>
        <v>0</v>
      </c>
      <c r="Q74" s="120">
        <f t="shared" si="18"/>
        <v>0</v>
      </c>
    </row>
    <row r="75" spans="3:17" hidden="1" outlineLevel="2">
      <c r="E75" s="5" t="s">
        <v>161</v>
      </c>
      <c r="J75" s="122">
        <f>IF(J74&lt;&gt;0,0,(ROUND(J72-(J68+J69+J71),5)&lt;&gt;0)*1)</f>
        <v>0</v>
      </c>
      <c r="K75" s="122">
        <f t="shared" ref="K75:Q75" si="19">IF(K74&lt;&gt;0,0,(ROUND(K72-(K68+K69+K71),5)&lt;&gt;0)*1)</f>
        <v>0</v>
      </c>
      <c r="L75" s="122">
        <f t="shared" si="19"/>
        <v>0</v>
      </c>
      <c r="M75" s="122">
        <f t="shared" si="19"/>
        <v>0</v>
      </c>
      <c r="N75" s="122">
        <f t="shared" si="19"/>
        <v>0</v>
      </c>
      <c r="O75" s="122">
        <f t="shared" si="19"/>
        <v>0</v>
      </c>
      <c r="P75" s="122">
        <f t="shared" si="19"/>
        <v>0</v>
      </c>
      <c r="Q75" s="122">
        <f t="shared" si="19"/>
        <v>0</v>
      </c>
    </row>
    <row r="76" spans="3:17" collapsed="1">
      <c r="D76" s="5" t="s">
        <v>164</v>
      </c>
      <c r="I76" s="123">
        <f>IF(ISERROR(SUM(J76:Q76)),0,MIN(SUM(J76:Q76),1))</f>
        <v>0</v>
      </c>
      <c r="J76" s="120">
        <f>MIN(SUM(J74:J75),1)</f>
        <v>0</v>
      </c>
      <c r="K76" s="120">
        <f t="shared" ref="K76:Q76" si="20">MIN(SUM(K74:K75),1)</f>
        <v>0</v>
      </c>
      <c r="L76" s="120">
        <f t="shared" si="20"/>
        <v>0</v>
      </c>
      <c r="M76" s="120">
        <f t="shared" si="20"/>
        <v>0</v>
      </c>
      <c r="N76" s="120">
        <f t="shared" si="20"/>
        <v>0</v>
      </c>
      <c r="O76" s="120">
        <f t="shared" si="20"/>
        <v>0</v>
      </c>
      <c r="P76" s="120">
        <f t="shared" si="20"/>
        <v>0</v>
      </c>
      <c r="Q76" s="120">
        <f t="shared" si="20"/>
        <v>0</v>
      </c>
    </row>
    <row r="78" spans="3:17" ht="11.25">
      <c r="C78" s="113" t="str">
        <f>Model_Exports_MI_TO!C54</f>
        <v>Intangibles Balances ($Millions)</v>
      </c>
    </row>
    <row r="80" spans="3:17">
      <c r="D80" s="6" t="str">
        <f>Model_Exports_MI_TO!D56</f>
        <v>Opening Balance</v>
      </c>
      <c r="J80" s="106">
        <f>Model_Exports_MI_TO!J56</f>
        <v>11.5</v>
      </c>
      <c r="K80" s="106">
        <f>Model_Exports_MI_TO!K56</f>
        <v>13.375</v>
      </c>
      <c r="L80" s="106">
        <f>Model_Exports_MI_TO!L56</f>
        <v>15.296875</v>
      </c>
      <c r="M80" s="106">
        <f>Model_Exports_MI_TO!M56</f>
        <v>17.266796874999997</v>
      </c>
      <c r="N80" s="106">
        <f>Model_Exports_MI_TO!N56</f>
        <v>19.285966796874998</v>
      </c>
      <c r="O80" s="106">
        <f>Model_Exports_MI_TO!O56</f>
        <v>21.355615966796872</v>
      </c>
      <c r="P80" s="106">
        <f>Model_Exports_MI_TO!P56</f>
        <v>23.477006365966794</v>
      </c>
      <c r="Q80" s="106">
        <f>Model_Exports_MI_TO!Q56</f>
        <v>25.651431525115964</v>
      </c>
    </row>
    <row r="81" spans="2:17">
      <c r="D81" s="6" t="str">
        <f>Model_Exports_MI_TO!D57</f>
        <v>Capital Expenditure - Intangibles</v>
      </c>
      <c r="J81" s="106">
        <f>Model_Exports_MI_TO!J57</f>
        <v>2.5</v>
      </c>
      <c r="K81" s="106">
        <f>Model_Exports_MI_TO!K57</f>
        <v>2.5625</v>
      </c>
      <c r="L81" s="106">
        <f>Model_Exports_MI_TO!L57</f>
        <v>2.6265624999999999</v>
      </c>
      <c r="M81" s="106">
        <f>Model_Exports_MI_TO!M57</f>
        <v>2.6922265624999997</v>
      </c>
      <c r="N81" s="106">
        <f>Model_Exports_MI_TO!N57</f>
        <v>2.7595322265624995</v>
      </c>
      <c r="O81" s="106">
        <f>Model_Exports_MI_TO!O57</f>
        <v>2.8285205322265616</v>
      </c>
      <c r="P81" s="106">
        <f>Model_Exports_MI_TO!P57</f>
        <v>2.8992335455322253</v>
      </c>
      <c r="Q81" s="106">
        <f>Model_Exports_MI_TO!Q57</f>
        <v>2.9717143841705309</v>
      </c>
    </row>
    <row r="82" spans="2:17" hidden="1" outlineLevel="2">
      <c r="D82" s="6" t="str">
        <f>Model_Exports_MI_TO!D58</f>
        <v>Amortization - % of Capital Expenditure</v>
      </c>
      <c r="J82" s="125">
        <f>Model_Exports_MI_TO!J58</f>
        <v>0.25</v>
      </c>
      <c r="K82" s="125">
        <f>Model_Exports_MI_TO!K58</f>
        <v>0.25</v>
      </c>
      <c r="L82" s="125">
        <f>Model_Exports_MI_TO!L58</f>
        <v>0.25</v>
      </c>
      <c r="M82" s="125">
        <f>Model_Exports_MI_TO!M58</f>
        <v>0.25</v>
      </c>
      <c r="N82" s="125">
        <f>Model_Exports_MI_TO!N58</f>
        <v>0.25</v>
      </c>
      <c r="O82" s="125">
        <f>Model_Exports_MI_TO!O58</f>
        <v>0.25</v>
      </c>
      <c r="P82" s="125">
        <f>Model_Exports_MI_TO!P58</f>
        <v>0.25</v>
      </c>
      <c r="Q82" s="125">
        <f>Model_Exports_MI_TO!Q58</f>
        <v>0.25</v>
      </c>
    </row>
    <row r="83" spans="2:17" s="10" customFormat="1" collapsed="1">
      <c r="D83" s="114" t="str">
        <f>Model_Exports_MI_TO!D59</f>
        <v>Amortization</v>
      </c>
      <c r="J83" s="115">
        <f>Model_Exports_MI_TO!J59</f>
        <v>-0.625</v>
      </c>
      <c r="K83" s="115">
        <f>Model_Exports_MI_TO!K59</f>
        <v>-0.640625</v>
      </c>
      <c r="L83" s="115">
        <f>Model_Exports_MI_TO!L59</f>
        <v>-0.65664062499999998</v>
      </c>
      <c r="M83" s="115">
        <f>Model_Exports_MI_TO!M59</f>
        <v>-0.67305664062499992</v>
      </c>
      <c r="N83" s="115">
        <f>Model_Exports_MI_TO!N59</f>
        <v>-0.68988305664062488</v>
      </c>
      <c r="O83" s="115">
        <f>Model_Exports_MI_TO!O59</f>
        <v>-0.70713013305664041</v>
      </c>
      <c r="P83" s="115">
        <f>Model_Exports_MI_TO!P59</f>
        <v>-0.72480838638305634</v>
      </c>
      <c r="Q83" s="115">
        <f>Model_Exports_MI_TO!Q59</f>
        <v>-0.74292859604263273</v>
      </c>
    </row>
    <row r="84" spans="2:17">
      <c r="D84" s="118" t="str">
        <f>Model_Exports_MI_TO!D60</f>
        <v>Closing Balance</v>
      </c>
      <c r="J84" s="119">
        <f>Model_Exports_MI_TO!J60</f>
        <v>13.375</v>
      </c>
      <c r="K84" s="119">
        <f>Model_Exports_MI_TO!K60</f>
        <v>15.296875</v>
      </c>
      <c r="L84" s="119">
        <f>Model_Exports_MI_TO!L60</f>
        <v>17.266796874999997</v>
      </c>
      <c r="M84" s="119">
        <f>Model_Exports_MI_TO!M60</f>
        <v>19.285966796874998</v>
      </c>
      <c r="N84" s="119">
        <f>Model_Exports_MI_TO!N60</f>
        <v>21.355615966796872</v>
      </c>
      <c r="O84" s="119">
        <f>Model_Exports_MI_TO!O60</f>
        <v>23.477006365966794</v>
      </c>
      <c r="P84" s="119">
        <f>Model_Exports_MI_TO!P60</f>
        <v>25.651431525115964</v>
      </c>
      <c r="Q84" s="119">
        <f>Model_Exports_MI_TO!Q60</f>
        <v>27.880217313243865</v>
      </c>
    </row>
    <row r="86" spans="2:17" hidden="1" outlineLevel="2">
      <c r="E86" s="5" t="s">
        <v>160</v>
      </c>
      <c r="J86" s="120">
        <f>IF(ISERROR(J84-(J80+J81+J83)),1,0)</f>
        <v>0</v>
      </c>
      <c r="K86" s="120">
        <f t="shared" ref="K86:Q86" si="21">IF(ISERROR(K84-(K80+K81+K83)),1,0)</f>
        <v>0</v>
      </c>
      <c r="L86" s="120">
        <f t="shared" si="21"/>
        <v>0</v>
      </c>
      <c r="M86" s="120">
        <f t="shared" si="21"/>
        <v>0</v>
      </c>
      <c r="N86" s="120">
        <f t="shared" si="21"/>
        <v>0</v>
      </c>
      <c r="O86" s="120">
        <f t="shared" si="21"/>
        <v>0</v>
      </c>
      <c r="P86" s="120">
        <f t="shared" si="21"/>
        <v>0</v>
      </c>
      <c r="Q86" s="120">
        <f t="shared" si="21"/>
        <v>0</v>
      </c>
    </row>
    <row r="87" spans="2:17" hidden="1" outlineLevel="2">
      <c r="E87" s="5" t="s">
        <v>161</v>
      </c>
      <c r="J87" s="122">
        <f>IF(J86&lt;&gt;0,0,(ROUND(J84-(J80+J81+J83),5)&lt;&gt;0)*1)</f>
        <v>0</v>
      </c>
      <c r="K87" s="122">
        <f t="shared" ref="K87:Q87" si="22">IF(K86&lt;&gt;0,0,(ROUND(K84-(K80+K81+K83),5)&lt;&gt;0)*1)</f>
        <v>0</v>
      </c>
      <c r="L87" s="122">
        <f t="shared" si="22"/>
        <v>0</v>
      </c>
      <c r="M87" s="122">
        <f t="shared" si="22"/>
        <v>0</v>
      </c>
      <c r="N87" s="122">
        <f t="shared" si="22"/>
        <v>0</v>
      </c>
      <c r="O87" s="122">
        <f t="shared" si="22"/>
        <v>0</v>
      </c>
      <c r="P87" s="122">
        <f t="shared" si="22"/>
        <v>0</v>
      </c>
      <c r="Q87" s="122">
        <f t="shared" si="22"/>
        <v>0</v>
      </c>
    </row>
    <row r="88" spans="2:17" collapsed="1">
      <c r="D88" s="5" t="s">
        <v>164</v>
      </c>
      <c r="I88" s="123">
        <f>IF(ISERROR(SUM(J88:Q88)),0,MIN(SUM(J88:Q88),1))</f>
        <v>0</v>
      </c>
      <c r="J88" s="120">
        <f>MIN(SUM(J86:J87),1)</f>
        <v>0</v>
      </c>
      <c r="K88" s="120">
        <f t="shared" ref="K88:Q88" si="23">MIN(SUM(K86:K87),1)</f>
        <v>0</v>
      </c>
      <c r="L88" s="120">
        <f t="shared" si="23"/>
        <v>0</v>
      </c>
      <c r="M88" s="120">
        <f t="shared" si="23"/>
        <v>0</v>
      </c>
      <c r="N88" s="120">
        <f t="shared" si="23"/>
        <v>0</v>
      </c>
      <c r="O88" s="120">
        <f t="shared" si="23"/>
        <v>0</v>
      </c>
      <c r="P88" s="120">
        <f t="shared" si="23"/>
        <v>0</v>
      </c>
      <c r="Q88" s="120">
        <f t="shared" si="23"/>
        <v>0</v>
      </c>
    </row>
    <row r="90" spans="2:17">
      <c r="C90" s="107" t="s">
        <v>32</v>
      </c>
      <c r="D90" s="108"/>
    </row>
    <row r="91" spans="2:17">
      <c r="C91" s="109">
        <v>1</v>
      </c>
      <c r="D91" s="110" t="s">
        <v>167</v>
      </c>
    </row>
    <row r="92" spans="2:17">
      <c r="C92" s="109">
        <v>2</v>
      </c>
      <c r="D92" s="111" t="str">
        <f>"Asset balances are specified in "&amp;INDEX(LU_Denom,DD_TS_Denom)&amp;"."</f>
        <v>Asset balances are specified in $Millions.</v>
      </c>
    </row>
    <row r="95" spans="2:17" ht="12.75">
      <c r="B95" s="126" t="s">
        <v>168</v>
      </c>
    </row>
    <row r="97" spans="3:17" ht="11.25">
      <c r="C97" s="127" t="s">
        <v>169</v>
      </c>
    </row>
    <row r="98" spans="3:17" ht="11.25">
      <c r="C98" s="127"/>
    </row>
    <row r="99" spans="3:17">
      <c r="D99" s="118" t="str">
        <f>Fcast_TA!$D$20</f>
        <v>Funds Drawn ($Millions)</v>
      </c>
    </row>
    <row r="101" spans="3:17">
      <c r="E101" s="6" t="str">
        <f>Fcast_TA!E22</f>
        <v>Opening Balance</v>
      </c>
      <c r="J101" s="106">
        <f>IF(J$12=1,Fcast_TA!$J$22,I104)</f>
        <v>50</v>
      </c>
      <c r="K101" s="106">
        <f>IF(K$12=1,Fcast_TA!$J$22,J104)</f>
        <v>50</v>
      </c>
      <c r="L101" s="106">
        <f>IF(L$12=1,Fcast_TA!$J$22,K104)</f>
        <v>50</v>
      </c>
      <c r="M101" s="106">
        <f>IF(M$12=1,Fcast_TA!$J$22,L104)</f>
        <v>50</v>
      </c>
      <c r="N101" s="106">
        <f>IF(N$12=1,Fcast_TA!$J$22,M104)</f>
        <v>50</v>
      </c>
      <c r="O101" s="106">
        <f>IF(O$12=1,Fcast_TA!$J$22,N104)</f>
        <v>55</v>
      </c>
      <c r="P101" s="106">
        <f>IF(P$12=1,Fcast_TA!$J$22,O104)</f>
        <v>55</v>
      </c>
      <c r="Q101" s="106">
        <f>IF(Q$12=1,Fcast_TA!$J$22,P104)</f>
        <v>55</v>
      </c>
    </row>
    <row r="102" spans="3:17">
      <c r="E102" s="6" t="str">
        <f>Fcast_TA!E23</f>
        <v>Debt Drawdowns</v>
      </c>
      <c r="J102" s="106">
        <f>Fcast_TA!J23</f>
        <v>0</v>
      </c>
      <c r="K102" s="106">
        <f>Fcast_TA!K23</f>
        <v>0</v>
      </c>
      <c r="L102" s="106">
        <f>Fcast_TA!L23</f>
        <v>0</v>
      </c>
      <c r="M102" s="106">
        <f>Fcast_TA!M23</f>
        <v>0</v>
      </c>
      <c r="N102" s="106">
        <f>Fcast_TA!N23</f>
        <v>50</v>
      </c>
      <c r="O102" s="106">
        <f>Fcast_TA!O23</f>
        <v>0</v>
      </c>
      <c r="P102" s="106">
        <f>Fcast_TA!P23</f>
        <v>0</v>
      </c>
      <c r="Q102" s="106">
        <f>Fcast_TA!Q23</f>
        <v>0</v>
      </c>
    </row>
    <row r="103" spans="3:17">
      <c r="E103" s="6" t="str">
        <f>Fcast_TA!E24</f>
        <v>Debt Repayments</v>
      </c>
      <c r="J103" s="128">
        <f>-Fcast_TA!J24</f>
        <v>0</v>
      </c>
      <c r="K103" s="128">
        <f>-Fcast_TA!K24</f>
        <v>0</v>
      </c>
      <c r="L103" s="128">
        <f>-Fcast_TA!L24</f>
        <v>0</v>
      </c>
      <c r="M103" s="128">
        <f>-Fcast_TA!M24</f>
        <v>0</v>
      </c>
      <c r="N103" s="128">
        <f>-Fcast_TA!N24</f>
        <v>-45</v>
      </c>
      <c r="O103" s="128">
        <f>-Fcast_TA!O24</f>
        <v>0</v>
      </c>
      <c r="P103" s="128">
        <f>-Fcast_TA!P24</f>
        <v>0</v>
      </c>
      <c r="Q103" s="128">
        <f>-Fcast_TA!Q24</f>
        <v>0</v>
      </c>
    </row>
    <row r="104" spans="3:17">
      <c r="E104" s="118" t="str">
        <f>Fcast_TA!E25</f>
        <v>Closing Debt Balance</v>
      </c>
      <c r="J104" s="129">
        <f>SUM(J101:J103)</f>
        <v>50</v>
      </c>
      <c r="K104" s="129">
        <f t="shared" ref="K104:Q104" si="24">SUM(K101:K103)</f>
        <v>50</v>
      </c>
      <c r="L104" s="129">
        <f t="shared" si="24"/>
        <v>50</v>
      </c>
      <c r="M104" s="129">
        <f t="shared" si="24"/>
        <v>50</v>
      </c>
      <c r="N104" s="129">
        <f t="shared" si="24"/>
        <v>55</v>
      </c>
      <c r="O104" s="129">
        <f t="shared" si="24"/>
        <v>55</v>
      </c>
      <c r="P104" s="129">
        <f t="shared" si="24"/>
        <v>55</v>
      </c>
      <c r="Q104" s="129">
        <f t="shared" si="24"/>
        <v>55</v>
      </c>
    </row>
    <row r="106" spans="3:17">
      <c r="D106" s="118" t="str">
        <f>Fcast_TA!$D$29</f>
        <v>Interest Expense</v>
      </c>
    </row>
    <row r="108" spans="3:17">
      <c r="E108" s="6" t="str">
        <f>Fcast_TA!E33</f>
        <v>Base Interest Rate (% p.a.)</v>
      </c>
      <c r="J108" s="130">
        <f>Fcast_TA!J33</f>
        <v>0.05</v>
      </c>
      <c r="K108" s="130">
        <f>Fcast_TA!K33</f>
        <v>0.05</v>
      </c>
      <c r="L108" s="130">
        <f>Fcast_TA!L33</f>
        <v>0.05</v>
      </c>
      <c r="M108" s="130">
        <f>Fcast_TA!M33</f>
        <v>0.05</v>
      </c>
      <c r="N108" s="130">
        <f>Fcast_TA!N33</f>
        <v>0.05</v>
      </c>
      <c r="O108" s="130">
        <f>Fcast_TA!O33</f>
        <v>0.05</v>
      </c>
      <c r="P108" s="130">
        <f>Fcast_TA!P33</f>
        <v>0.05</v>
      </c>
      <c r="Q108" s="130">
        <f>Fcast_TA!Q33</f>
        <v>0.05</v>
      </c>
    </row>
    <row r="109" spans="3:17">
      <c r="E109" s="6" t="str">
        <f>Fcast_TA!E34</f>
        <v>Margin (% p.a.)</v>
      </c>
      <c r="J109" s="130">
        <f>Fcast_TA!J34</f>
        <v>1.4999999999999999E-2</v>
      </c>
      <c r="K109" s="130">
        <f>Fcast_TA!K34</f>
        <v>1.4999999999999999E-2</v>
      </c>
      <c r="L109" s="130">
        <f>Fcast_TA!L34</f>
        <v>1.4999999999999999E-2</v>
      </c>
      <c r="M109" s="130">
        <f>Fcast_TA!M34</f>
        <v>1.4999999999999999E-2</v>
      </c>
      <c r="N109" s="130">
        <f>Fcast_TA!N34</f>
        <v>1.4999999999999999E-2</v>
      </c>
      <c r="O109" s="130">
        <f>Fcast_TA!O34</f>
        <v>1.4999999999999999E-2</v>
      </c>
      <c r="P109" s="130">
        <f>Fcast_TA!P34</f>
        <v>1.4999999999999999E-2</v>
      </c>
      <c r="Q109" s="130">
        <f>Fcast_TA!Q34</f>
        <v>1.4999999999999999E-2</v>
      </c>
    </row>
    <row r="110" spans="3:17">
      <c r="E110" s="6" t="str">
        <f>Fcast_TA!E35</f>
        <v>All-In Interest Rate (% p.a.)</v>
      </c>
      <c r="J110" s="131">
        <f>SUM(J108:J109)</f>
        <v>6.5000000000000002E-2</v>
      </c>
      <c r="K110" s="131">
        <f t="shared" ref="K110:Q110" si="25">SUM(K108:K109)</f>
        <v>6.5000000000000002E-2</v>
      </c>
      <c r="L110" s="131">
        <f t="shared" si="25"/>
        <v>6.5000000000000002E-2</v>
      </c>
      <c r="M110" s="131">
        <f t="shared" si="25"/>
        <v>6.5000000000000002E-2</v>
      </c>
      <c r="N110" s="131">
        <f t="shared" si="25"/>
        <v>6.5000000000000002E-2</v>
      </c>
      <c r="O110" s="131">
        <f t="shared" si="25"/>
        <v>6.5000000000000002E-2</v>
      </c>
      <c r="P110" s="131">
        <f t="shared" si="25"/>
        <v>6.5000000000000002E-2</v>
      </c>
      <c r="Q110" s="131">
        <f t="shared" si="25"/>
        <v>6.5000000000000002E-2</v>
      </c>
    </row>
    <row r="112" spans="3:17">
      <c r="E112" s="132" t="str">
        <f>Mth_Name&amp;"s in "&amp;CHOOSE(MATCH(TS_Periodicity,LU_Periodicity,0),
"Financial "&amp;Yr_Name,
Half_Yr_Name,
Qtr_Name,
Mth_Name)</f>
        <v>Months in Financial Year</v>
      </c>
      <c r="J112" s="133">
        <f t="shared" ref="J112:Q112" si="26">Mths_In_Yr/INDEX(LU_Pers_In_Yr,MATCH(TS_Periodicity,LU_Periodicity,0))</f>
        <v>12</v>
      </c>
      <c r="K112" s="133">
        <f t="shared" si="26"/>
        <v>12</v>
      </c>
      <c r="L112" s="133">
        <f t="shared" si="26"/>
        <v>12</v>
      </c>
      <c r="M112" s="133">
        <f t="shared" si="26"/>
        <v>12</v>
      </c>
      <c r="N112" s="133">
        <f t="shared" si="26"/>
        <v>12</v>
      </c>
      <c r="O112" s="133">
        <f t="shared" si="26"/>
        <v>12</v>
      </c>
      <c r="P112" s="133">
        <f t="shared" si="26"/>
        <v>12</v>
      </c>
      <c r="Q112" s="133">
        <f t="shared" si="26"/>
        <v>12</v>
      </c>
    </row>
    <row r="113" spans="3:17">
      <c r="E113" s="5" t="s">
        <v>170</v>
      </c>
      <c r="J113" s="125">
        <f t="shared" ref="J113:Q113" si="27">IF(J$12=1,IF(J$9=EOMONTH(J$9,0),(DAY(EOMONTH(J$8,0))-DAY(J$8)+1)/DAY(EOMONTH(J$8,0))+MONTH(J$9)-MONTH(J$8)+(YEAR(J$9)&lt;&gt;YEAR(J$8))*Mths_In_Yr,J112)/Mths_In_Yr,
1/(Mths_In_Yr/J112))</f>
        <v>1</v>
      </c>
      <c r="K113" s="125">
        <f t="shared" si="27"/>
        <v>1</v>
      </c>
      <c r="L113" s="125">
        <f t="shared" si="27"/>
        <v>1</v>
      </c>
      <c r="M113" s="125">
        <f t="shared" si="27"/>
        <v>1</v>
      </c>
      <c r="N113" s="125">
        <f t="shared" si="27"/>
        <v>1</v>
      </c>
      <c r="O113" s="125">
        <f t="shared" si="27"/>
        <v>1</v>
      </c>
      <c r="P113" s="125">
        <f t="shared" si="27"/>
        <v>1</v>
      </c>
      <c r="Q113" s="125">
        <f t="shared" si="27"/>
        <v>1</v>
      </c>
    </row>
    <row r="114" spans="3:17">
      <c r="E114" s="6" t="str">
        <f>Fcast_TA!$E$27</f>
        <v>Drawdowns/Repayments % into Period</v>
      </c>
      <c r="J114" s="125">
        <f>Fcast_TA!J27</f>
        <v>0.5</v>
      </c>
      <c r="K114" s="125">
        <f>Fcast_TA!K27</f>
        <v>0.5</v>
      </c>
      <c r="L114" s="125">
        <f>Fcast_TA!L27</f>
        <v>0.5</v>
      </c>
      <c r="M114" s="125">
        <f>Fcast_TA!M27</f>
        <v>0.5</v>
      </c>
      <c r="N114" s="125">
        <f>Fcast_TA!N27</f>
        <v>0.5</v>
      </c>
      <c r="O114" s="125">
        <f>Fcast_TA!O27</f>
        <v>0.5</v>
      </c>
      <c r="P114" s="125">
        <f>Fcast_TA!P27</f>
        <v>0.5</v>
      </c>
      <c r="Q114" s="125">
        <f>Fcast_TA!Q27</f>
        <v>0.5</v>
      </c>
    </row>
    <row r="115" spans="3:17">
      <c r="E115" s="5" t="s">
        <v>171</v>
      </c>
      <c r="J115" s="128">
        <f>J101*J114+(1-J114)*J104</f>
        <v>50</v>
      </c>
      <c r="K115" s="128">
        <f t="shared" ref="K115:Q115" si="28">K101*K114+(1-K114)*K104</f>
        <v>50</v>
      </c>
      <c r="L115" s="128">
        <f t="shared" si="28"/>
        <v>50</v>
      </c>
      <c r="M115" s="128">
        <f t="shared" si="28"/>
        <v>50</v>
      </c>
      <c r="N115" s="128">
        <f t="shared" si="28"/>
        <v>52.5</v>
      </c>
      <c r="O115" s="128">
        <f t="shared" si="28"/>
        <v>55</v>
      </c>
      <c r="P115" s="128">
        <f t="shared" si="28"/>
        <v>55</v>
      </c>
      <c r="Q115" s="128">
        <f t="shared" si="28"/>
        <v>55</v>
      </c>
    </row>
    <row r="116" spans="3:17">
      <c r="E116" s="134" t="s">
        <v>121</v>
      </c>
      <c r="J116" s="129">
        <f>J110*J113*J115</f>
        <v>3.25</v>
      </c>
      <c r="K116" s="129">
        <f t="shared" ref="K116:Q116" si="29">K110*K113*K115</f>
        <v>3.25</v>
      </c>
      <c r="L116" s="129">
        <f t="shared" si="29"/>
        <v>3.25</v>
      </c>
      <c r="M116" s="129">
        <f t="shared" si="29"/>
        <v>3.25</v>
      </c>
      <c r="N116" s="129">
        <f t="shared" si="29"/>
        <v>3.4125000000000001</v>
      </c>
      <c r="O116" s="129">
        <f t="shared" si="29"/>
        <v>3.5750000000000002</v>
      </c>
      <c r="P116" s="129">
        <f t="shared" si="29"/>
        <v>3.5750000000000002</v>
      </c>
      <c r="Q116" s="129">
        <f t="shared" si="29"/>
        <v>3.5750000000000002</v>
      </c>
    </row>
    <row r="118" spans="3:17">
      <c r="E118" s="6" t="str">
        <f>Fcast_TA!$E$31</f>
        <v>Opening Interest Payable</v>
      </c>
      <c r="J118" s="106">
        <f>IF(J$12=1,Fcast_TA!$J$31,I121)</f>
        <v>0</v>
      </c>
      <c r="K118" s="106">
        <f>IF(K$12=1,Fcast_TA!$J$31,J121)</f>
        <v>0</v>
      </c>
      <c r="L118" s="106">
        <f>IF(L$12=1,Fcast_TA!$J$31,K121)</f>
        <v>0</v>
      </c>
      <c r="M118" s="106">
        <f>IF(M$12=1,Fcast_TA!$J$31,L121)</f>
        <v>0</v>
      </c>
      <c r="N118" s="106">
        <f>IF(N$12=1,Fcast_TA!$J$31,M121)</f>
        <v>0</v>
      </c>
      <c r="O118" s="106">
        <f>IF(O$12=1,Fcast_TA!$J$31,N121)</f>
        <v>0</v>
      </c>
      <c r="P118" s="106">
        <f>IF(P$12=1,Fcast_TA!$J$31,O121)</f>
        <v>0</v>
      </c>
      <c r="Q118" s="106">
        <f>IF(Q$12=1,Fcast_TA!$J$31,P121)</f>
        <v>0</v>
      </c>
    </row>
    <row r="119" spans="3:17">
      <c r="E119" s="6" t="str">
        <f>$E$116</f>
        <v>Interest Expense</v>
      </c>
      <c r="J119" s="106">
        <f>J116</f>
        <v>3.25</v>
      </c>
      <c r="K119" s="106">
        <f t="shared" ref="K119:Q119" si="30">K116</f>
        <v>3.25</v>
      </c>
      <c r="L119" s="106">
        <f t="shared" si="30"/>
        <v>3.25</v>
      </c>
      <c r="M119" s="106">
        <f t="shared" si="30"/>
        <v>3.25</v>
      </c>
      <c r="N119" s="106">
        <f t="shared" si="30"/>
        <v>3.4125000000000001</v>
      </c>
      <c r="O119" s="106">
        <f t="shared" si="30"/>
        <v>3.5750000000000002</v>
      </c>
      <c r="P119" s="106">
        <f t="shared" si="30"/>
        <v>3.5750000000000002</v>
      </c>
      <c r="Q119" s="106">
        <f t="shared" si="30"/>
        <v>3.5750000000000002</v>
      </c>
    </row>
    <row r="120" spans="3:17">
      <c r="E120" s="5" t="s">
        <v>172</v>
      </c>
      <c r="J120" s="128">
        <f>-J119</f>
        <v>-3.25</v>
      </c>
      <c r="K120" s="128">
        <f t="shared" ref="K120:Q120" si="31">-K119</f>
        <v>-3.25</v>
      </c>
      <c r="L120" s="128">
        <f t="shared" si="31"/>
        <v>-3.25</v>
      </c>
      <c r="M120" s="128">
        <f t="shared" si="31"/>
        <v>-3.25</v>
      </c>
      <c r="N120" s="128">
        <f t="shared" si="31"/>
        <v>-3.4125000000000001</v>
      </c>
      <c r="O120" s="128">
        <f t="shared" si="31"/>
        <v>-3.5750000000000002</v>
      </c>
      <c r="P120" s="128">
        <f t="shared" si="31"/>
        <v>-3.5750000000000002</v>
      </c>
      <c r="Q120" s="128">
        <f t="shared" si="31"/>
        <v>-3.5750000000000002</v>
      </c>
    </row>
    <row r="121" spans="3:17">
      <c r="E121" s="134" t="s">
        <v>173</v>
      </c>
      <c r="J121" s="106">
        <f>SUM(J118:J120)</f>
        <v>0</v>
      </c>
      <c r="K121" s="106">
        <f t="shared" ref="K121:Q121" si="32">SUM(K118:K120)</f>
        <v>0</v>
      </c>
      <c r="L121" s="106">
        <f t="shared" si="32"/>
        <v>0</v>
      </c>
      <c r="M121" s="106">
        <f t="shared" si="32"/>
        <v>0</v>
      </c>
      <c r="N121" s="106">
        <f t="shared" si="32"/>
        <v>0</v>
      </c>
      <c r="O121" s="106">
        <f t="shared" si="32"/>
        <v>0</v>
      </c>
      <c r="P121" s="106">
        <f t="shared" si="32"/>
        <v>0</v>
      </c>
      <c r="Q121" s="106">
        <f t="shared" si="32"/>
        <v>0</v>
      </c>
    </row>
    <row r="123" spans="3:17" ht="11.25">
      <c r="C123" s="127" t="s">
        <v>174</v>
      </c>
    </row>
    <row r="125" spans="3:17">
      <c r="D125" s="118" t="str">
        <f>Fcast_TA!$D$39</f>
        <v>Ordinary Equity Balances ($Millions)</v>
      </c>
    </row>
    <row r="127" spans="3:17">
      <c r="E127" s="6" t="str">
        <f>Fcast_TA!E41</f>
        <v>Opening Balance</v>
      </c>
      <c r="J127" s="106">
        <f>IF(J$12=1,Fcast_TA!$J$41,I130)</f>
        <v>75</v>
      </c>
      <c r="K127" s="106">
        <f>IF(K$12=1,Fcast_TA!$J$41,J130)</f>
        <v>75</v>
      </c>
      <c r="L127" s="106">
        <f>IF(L$12=1,Fcast_TA!$J$41,K130)</f>
        <v>75</v>
      </c>
      <c r="M127" s="106">
        <f>IF(M$12=1,Fcast_TA!$J$41,L130)</f>
        <v>75</v>
      </c>
      <c r="N127" s="106">
        <f>IF(N$12=1,Fcast_TA!$J$41,M130)</f>
        <v>75</v>
      </c>
      <c r="O127" s="106">
        <f>IF(O$12=1,Fcast_TA!$J$41,N130)</f>
        <v>75</v>
      </c>
      <c r="P127" s="106">
        <f>IF(P$12=1,Fcast_TA!$J$41,O130)</f>
        <v>75</v>
      </c>
      <c r="Q127" s="106">
        <f>IF(Q$12=1,Fcast_TA!$J$41,P130)</f>
        <v>75</v>
      </c>
    </row>
    <row r="128" spans="3:17">
      <c r="E128" s="6" t="str">
        <f>Fcast_TA!E42</f>
        <v>Equity Raisings</v>
      </c>
      <c r="J128" s="106">
        <f>Fcast_TA!J42</f>
        <v>0</v>
      </c>
      <c r="K128" s="106">
        <f>Fcast_TA!K42</f>
        <v>0</v>
      </c>
      <c r="L128" s="106">
        <f>Fcast_TA!L42</f>
        <v>0</v>
      </c>
      <c r="M128" s="106">
        <f>Fcast_TA!M42</f>
        <v>0</v>
      </c>
      <c r="N128" s="106">
        <f>Fcast_TA!N42</f>
        <v>0</v>
      </c>
      <c r="O128" s="106">
        <f>Fcast_TA!O42</f>
        <v>0</v>
      </c>
      <c r="P128" s="106">
        <f>Fcast_TA!P42</f>
        <v>0</v>
      </c>
      <c r="Q128" s="106">
        <f>Fcast_TA!Q42</f>
        <v>0</v>
      </c>
    </row>
    <row r="129" spans="4:17">
      <c r="E129" s="6" t="str">
        <f>Fcast_TA!E43</f>
        <v>Equity Repayments</v>
      </c>
      <c r="J129" s="128">
        <f>-Fcast_TA!J43</f>
        <v>0</v>
      </c>
      <c r="K129" s="128">
        <f>-Fcast_TA!K43</f>
        <v>0</v>
      </c>
      <c r="L129" s="128">
        <f>-Fcast_TA!L43</f>
        <v>0</v>
      </c>
      <c r="M129" s="128">
        <f>-Fcast_TA!M43</f>
        <v>0</v>
      </c>
      <c r="N129" s="128">
        <f>-Fcast_TA!N43</f>
        <v>0</v>
      </c>
      <c r="O129" s="128">
        <f>-Fcast_TA!O43</f>
        <v>0</v>
      </c>
      <c r="P129" s="128">
        <f>-Fcast_TA!P43</f>
        <v>0</v>
      </c>
      <c r="Q129" s="128">
        <f>-Fcast_TA!Q43</f>
        <v>0</v>
      </c>
    </row>
    <row r="130" spans="4:17">
      <c r="E130" s="118" t="str">
        <f>Fcast_TA!E44</f>
        <v>Closing Ordinary Equity</v>
      </c>
      <c r="J130" s="129">
        <f>SUM(J127:J129)</f>
        <v>75</v>
      </c>
      <c r="K130" s="129">
        <f t="shared" ref="K130:Q130" si="33">SUM(K127:K129)</f>
        <v>75</v>
      </c>
      <c r="L130" s="129">
        <f t="shared" si="33"/>
        <v>75</v>
      </c>
      <c r="M130" s="129">
        <f t="shared" si="33"/>
        <v>75</v>
      </c>
      <c r="N130" s="129">
        <f t="shared" si="33"/>
        <v>75</v>
      </c>
      <c r="O130" s="129">
        <f t="shared" si="33"/>
        <v>75</v>
      </c>
      <c r="P130" s="129">
        <f t="shared" si="33"/>
        <v>75</v>
      </c>
      <c r="Q130" s="129">
        <f t="shared" si="33"/>
        <v>75</v>
      </c>
    </row>
    <row r="132" spans="4:17">
      <c r="D132" s="118" t="str">
        <f>Fcast_TA!$D$46</f>
        <v>Dividends Payable &amp; Paid</v>
      </c>
    </row>
    <row r="134" spans="4:17">
      <c r="E134" s="5" t="s">
        <v>116</v>
      </c>
      <c r="J134" s="106">
        <f>IF(J$12=1,Fcast_TA!$J$48,I137)</f>
        <v>0</v>
      </c>
      <c r="K134" s="106">
        <f>IF(K$12=1,Fcast_TA!$J$48,J137)</f>
        <v>0</v>
      </c>
      <c r="L134" s="106">
        <f>IF(L$12=1,Fcast_TA!$J$48,K137)</f>
        <v>0</v>
      </c>
      <c r="M134" s="106">
        <f>IF(M$12=1,Fcast_TA!$J$48,L137)</f>
        <v>0</v>
      </c>
      <c r="N134" s="106">
        <f>IF(N$12=1,Fcast_TA!$J$48,M137)</f>
        <v>0</v>
      </c>
      <c r="O134" s="106">
        <f>IF(O$12=1,Fcast_TA!$J$48,N137)</f>
        <v>0</v>
      </c>
      <c r="P134" s="106">
        <f>IF(P$12=1,Fcast_TA!$J$48,O137)</f>
        <v>0</v>
      </c>
      <c r="Q134" s="106">
        <f>IF(Q$12=1,Fcast_TA!$J$48,P137)</f>
        <v>0</v>
      </c>
    </row>
    <row r="135" spans="4:17">
      <c r="E135" s="5" t="s">
        <v>175</v>
      </c>
      <c r="J135" s="106">
        <f t="shared" ref="J135:Q135" si="34">J159</f>
        <v>14.918749999999999</v>
      </c>
      <c r="K135" s="106">
        <f t="shared" si="34"/>
        <v>15.32015625</v>
      </c>
      <c r="L135" s="106">
        <f t="shared" si="34"/>
        <v>15.731597656250003</v>
      </c>
      <c r="M135" s="106">
        <f t="shared" si="34"/>
        <v>16.153325097656253</v>
      </c>
      <c r="N135" s="106">
        <f t="shared" si="34"/>
        <v>16.528720725097664</v>
      </c>
      <c r="O135" s="106">
        <f t="shared" si="34"/>
        <v>16.914923118225101</v>
      </c>
      <c r="P135" s="106">
        <f t="shared" si="34"/>
        <v>17.369077446180725</v>
      </c>
      <c r="Q135" s="106">
        <f t="shared" si="34"/>
        <v>17.834585632335237</v>
      </c>
    </row>
    <row r="136" spans="4:17">
      <c r="E136" s="5" t="s">
        <v>176</v>
      </c>
      <c r="J136" s="128">
        <f t="shared" ref="J136:Q136" si="35">-J135</f>
        <v>-14.918749999999999</v>
      </c>
      <c r="K136" s="128">
        <f t="shared" si="35"/>
        <v>-15.32015625</v>
      </c>
      <c r="L136" s="128">
        <f t="shared" si="35"/>
        <v>-15.731597656250003</v>
      </c>
      <c r="M136" s="128">
        <f t="shared" si="35"/>
        <v>-16.153325097656253</v>
      </c>
      <c r="N136" s="128">
        <f t="shared" si="35"/>
        <v>-16.528720725097664</v>
      </c>
      <c r="O136" s="128">
        <f t="shared" si="35"/>
        <v>-16.914923118225101</v>
      </c>
      <c r="P136" s="128">
        <f t="shared" si="35"/>
        <v>-17.369077446180725</v>
      </c>
      <c r="Q136" s="128">
        <f t="shared" si="35"/>
        <v>-17.834585632335237</v>
      </c>
    </row>
    <row r="137" spans="4:17">
      <c r="E137" s="134" t="s">
        <v>177</v>
      </c>
      <c r="J137" s="129">
        <f t="shared" ref="J137:Q137" si="36">SUM(J134:J136)</f>
        <v>0</v>
      </c>
      <c r="K137" s="129">
        <f t="shared" si="36"/>
        <v>0</v>
      </c>
      <c r="L137" s="129">
        <f t="shared" si="36"/>
        <v>0</v>
      </c>
      <c r="M137" s="129">
        <f t="shared" si="36"/>
        <v>0</v>
      </c>
      <c r="N137" s="129">
        <f t="shared" si="36"/>
        <v>0</v>
      </c>
      <c r="O137" s="129">
        <f t="shared" si="36"/>
        <v>0</v>
      </c>
      <c r="P137" s="129">
        <f t="shared" si="36"/>
        <v>0</v>
      </c>
      <c r="Q137" s="129">
        <f t="shared" si="36"/>
        <v>0</v>
      </c>
    </row>
    <row r="139" spans="4:17" hidden="1" outlineLevel="2">
      <c r="F139" s="5" t="s">
        <v>160</v>
      </c>
      <c r="J139" s="120">
        <f t="shared" ref="J139:Q139" si="37">IF(ISERROR(SUM(J127:J130,J134:J137)),1,0)</f>
        <v>0</v>
      </c>
      <c r="K139" s="120">
        <f t="shared" si="37"/>
        <v>0</v>
      </c>
      <c r="L139" s="120">
        <f t="shared" si="37"/>
        <v>0</v>
      </c>
      <c r="M139" s="120">
        <f t="shared" si="37"/>
        <v>0</v>
      </c>
      <c r="N139" s="120">
        <f t="shared" si="37"/>
        <v>0</v>
      </c>
      <c r="O139" s="120">
        <f t="shared" si="37"/>
        <v>0</v>
      </c>
      <c r="P139" s="120">
        <f t="shared" si="37"/>
        <v>0</v>
      </c>
      <c r="Q139" s="120">
        <f t="shared" si="37"/>
        <v>0</v>
      </c>
    </row>
    <row r="140" spans="4:17" hidden="1" outlineLevel="2">
      <c r="F140" s="5" t="s">
        <v>178</v>
      </c>
      <c r="J140" s="121">
        <f t="shared" ref="J140:Q140" si="38">IF(J139&lt;&gt;0,0,OR(ROUND(J127,5)&lt;0,ROUND(J128,5)&lt;0,ROUND(J129,5)&gt;0,ROUND(J130,5)&lt;0,ROUND(J130-SUM(J127:J129),5)&lt;&gt;0)*1)</f>
        <v>0</v>
      </c>
      <c r="K140" s="121">
        <f t="shared" si="38"/>
        <v>0</v>
      </c>
      <c r="L140" s="121">
        <f t="shared" si="38"/>
        <v>0</v>
      </c>
      <c r="M140" s="121">
        <f t="shared" si="38"/>
        <v>0</v>
      </c>
      <c r="N140" s="121">
        <f t="shared" si="38"/>
        <v>0</v>
      </c>
      <c r="O140" s="121">
        <f t="shared" si="38"/>
        <v>0</v>
      </c>
      <c r="P140" s="121">
        <f t="shared" si="38"/>
        <v>0</v>
      </c>
      <c r="Q140" s="121">
        <f t="shared" si="38"/>
        <v>0</v>
      </c>
    </row>
    <row r="141" spans="4:17" hidden="1" outlineLevel="2">
      <c r="F141" s="5" t="s">
        <v>179</v>
      </c>
      <c r="J141" s="122">
        <f t="shared" ref="J141:Q141" si="39">IF(J139&lt;&gt;0,0,OR(ROUND(J134,5)&lt;0,ROUND(J135,5)&lt;0,ROUND(J136,5)&gt;0,ROUND(J137,5)&lt;0,ROUND(J137-SUM(J134:J136),5)&lt;&gt;0)*1)</f>
        <v>0</v>
      </c>
      <c r="K141" s="122">
        <f t="shared" si="39"/>
        <v>0</v>
      </c>
      <c r="L141" s="122">
        <f t="shared" si="39"/>
        <v>0</v>
      </c>
      <c r="M141" s="122">
        <f t="shared" si="39"/>
        <v>0</v>
      </c>
      <c r="N141" s="122">
        <f t="shared" si="39"/>
        <v>0</v>
      </c>
      <c r="O141" s="122">
        <f t="shared" si="39"/>
        <v>0</v>
      </c>
      <c r="P141" s="122">
        <f t="shared" si="39"/>
        <v>0</v>
      </c>
      <c r="Q141" s="122">
        <f t="shared" si="39"/>
        <v>0</v>
      </c>
    </row>
    <row r="142" spans="4:17" collapsed="1">
      <c r="E142" s="5" t="s">
        <v>164</v>
      </c>
      <c r="I142" s="123">
        <f>IF(ISERROR(SUM(J142:Q142)),0,MIN(SUM(J142:Q142),1))</f>
        <v>0</v>
      </c>
      <c r="J142" s="120">
        <f t="shared" ref="J142:Q142" si="40">IF(ISERROR(SUM(J139:J141)),1,
MIN(1,SUM(J139:J141)))</f>
        <v>0</v>
      </c>
      <c r="K142" s="120">
        <f t="shared" si="40"/>
        <v>0</v>
      </c>
      <c r="L142" s="120">
        <f t="shared" si="40"/>
        <v>0</v>
      </c>
      <c r="M142" s="120">
        <f t="shared" si="40"/>
        <v>0</v>
      </c>
      <c r="N142" s="120">
        <f t="shared" si="40"/>
        <v>0</v>
      </c>
      <c r="O142" s="120">
        <f t="shared" si="40"/>
        <v>0</v>
      </c>
      <c r="P142" s="120">
        <f t="shared" si="40"/>
        <v>0</v>
      </c>
      <c r="Q142" s="120">
        <f t="shared" si="40"/>
        <v>0</v>
      </c>
    </row>
    <row r="144" spans="4:17">
      <c r="D144" s="134" t="s">
        <v>180</v>
      </c>
    </row>
    <row r="146" spans="5:17">
      <c r="E146" s="6" t="str">
        <f>Fcast_TA!$E$50</f>
        <v>Dividend Determination Method:</v>
      </c>
      <c r="J146" s="6" t="str">
        <f>INDEX(LU_Eq_Ord_Div_Meth,DD_Eq_Ord_Div_Meth)</f>
        <v>% of NPAT</v>
      </c>
    </row>
    <row r="148" spans="5:17">
      <c r="E148" s="6" t="str">
        <f>Fcast_TA!$E$52</f>
        <v>Dividend Declaration Period?</v>
      </c>
      <c r="J148" s="135" t="str">
        <f>Fcast_TA!J52</f>
        <v>Yes</v>
      </c>
      <c r="K148" s="135" t="str">
        <f>Fcast_TA!K52</f>
        <v>Yes</v>
      </c>
      <c r="L148" s="135" t="str">
        <f>Fcast_TA!L52</f>
        <v>Yes</v>
      </c>
      <c r="M148" s="135" t="str">
        <f>Fcast_TA!M52</f>
        <v>Yes</v>
      </c>
      <c r="N148" s="135" t="str">
        <f>Fcast_TA!N52</f>
        <v>Yes</v>
      </c>
      <c r="O148" s="135" t="str">
        <f>Fcast_TA!O52</f>
        <v>Yes</v>
      </c>
      <c r="P148" s="135" t="str">
        <f>Fcast_TA!P52</f>
        <v>Yes</v>
      </c>
      <c r="Q148" s="135" t="str">
        <f>Fcast_TA!Q52</f>
        <v>Yes</v>
      </c>
    </row>
    <row r="150" spans="5:17" s="108" customFormat="1">
      <c r="E150" s="110" t="s">
        <v>181</v>
      </c>
      <c r="J150" s="136">
        <f>BS_TO!J61</f>
        <v>0</v>
      </c>
      <c r="K150" s="136">
        <f>BS_TO!K61</f>
        <v>60.918750000000003</v>
      </c>
      <c r="L150" s="136">
        <f>BS_TO!L61</f>
        <v>76.238906250000014</v>
      </c>
      <c r="M150" s="136">
        <f>BS_TO!M61</f>
        <v>91.970503906250016</v>
      </c>
      <c r="N150" s="136">
        <f>BS_TO!N61</f>
        <v>108.12382900390628</v>
      </c>
      <c r="O150" s="136">
        <f>BS_TO!O61</f>
        <v>124.65254972900394</v>
      </c>
      <c r="P150" s="136">
        <f>BS_TO!P61</f>
        <v>141.56747284722906</v>
      </c>
      <c r="Q150" s="136">
        <f>BS_TO!Q61</f>
        <v>158.93655029340977</v>
      </c>
    </row>
    <row r="151" spans="5:17" s="108" customFormat="1">
      <c r="E151" s="110" t="s">
        <v>182</v>
      </c>
      <c r="J151" s="137">
        <f>IS_TO!J39</f>
        <v>29.837499999999999</v>
      </c>
      <c r="K151" s="137">
        <f>IS_TO!K39</f>
        <v>30.6403125</v>
      </c>
      <c r="L151" s="137">
        <f>IS_TO!L39</f>
        <v>31.463195312500005</v>
      </c>
      <c r="M151" s="137">
        <f>IS_TO!M39</f>
        <v>32.306650195312507</v>
      </c>
      <c r="N151" s="137">
        <f>IS_TO!N39</f>
        <v>33.057441450195327</v>
      </c>
      <c r="O151" s="137">
        <f>IS_TO!O39</f>
        <v>33.829846236450202</v>
      </c>
      <c r="P151" s="137">
        <f>IS_TO!P39</f>
        <v>34.73815489236145</v>
      </c>
      <c r="Q151" s="137">
        <f>IS_TO!Q39</f>
        <v>35.669171264670474</v>
      </c>
    </row>
    <row r="152" spans="5:17">
      <c r="E152" s="134" t="s">
        <v>183</v>
      </c>
      <c r="J152" s="129">
        <f>MAX(0,SUM(J150:J151))</f>
        <v>29.837499999999999</v>
      </c>
      <c r="K152" s="129">
        <f t="shared" ref="K152:Q152" si="41">MAX(0,SUM(K150:K151))</f>
        <v>91.55906250000001</v>
      </c>
      <c r="L152" s="129">
        <f t="shared" si="41"/>
        <v>107.70210156250002</v>
      </c>
      <c r="M152" s="129">
        <f t="shared" si="41"/>
        <v>124.27715410156253</v>
      </c>
      <c r="N152" s="129">
        <f t="shared" si="41"/>
        <v>141.18127045410159</v>
      </c>
      <c r="O152" s="129">
        <f t="shared" si="41"/>
        <v>158.48239596545415</v>
      </c>
      <c r="P152" s="129">
        <f t="shared" si="41"/>
        <v>176.30562773959051</v>
      </c>
      <c r="Q152" s="129">
        <f t="shared" si="41"/>
        <v>194.60572155808023</v>
      </c>
    </row>
    <row r="153" spans="5:17" s="108" customFormat="1">
      <c r="E153" s="110" t="s">
        <v>144</v>
      </c>
      <c r="J153" s="136">
        <f>BS_TO!J20</f>
        <v>15</v>
      </c>
      <c r="K153" s="136">
        <f>BS_TO!K20</f>
        <v>38.570976027397265</v>
      </c>
      <c r="L153" s="136">
        <f>BS_TO!L20</f>
        <v>50.719312928082175</v>
      </c>
      <c r="M153" s="136">
        <f>BS_TO!M20</f>
        <v>63.206284003586049</v>
      </c>
      <c r="N153" s="136">
        <f>BS_TO!N20</f>
        <v>76.020728145066357</v>
      </c>
      <c r="O153" s="136">
        <f>BS_TO!O20</f>
        <v>94.084996348693011</v>
      </c>
      <c r="P153" s="136">
        <f>BS_TO!P20</f>
        <v>107.45007438241035</v>
      </c>
      <c r="Q153" s="136">
        <f>BS_TO!Q20</f>
        <v>121.237691183499</v>
      </c>
    </row>
    <row r="154" spans="5:17" s="108" customFormat="1">
      <c r="E154" s="110" t="s">
        <v>184</v>
      </c>
      <c r="J154" s="137">
        <f>CFS_TO!J101</f>
        <v>38.489726027397268</v>
      </c>
      <c r="K154" s="137">
        <f>CFS_TO!K101</f>
        <v>27.468493150684914</v>
      </c>
      <c r="L154" s="137">
        <f>CFS_TO!L101</f>
        <v>28.218568731753876</v>
      </c>
      <c r="M154" s="137">
        <f>CFS_TO!M101</f>
        <v>28.967769239136572</v>
      </c>
      <c r="N154" s="137">
        <f>CFS_TO!N101</f>
        <v>34.592988928724324</v>
      </c>
      <c r="O154" s="137">
        <f>CFS_TO!O101</f>
        <v>30.280001151942439</v>
      </c>
      <c r="P154" s="137">
        <f>CFS_TO!P101</f>
        <v>31.156694247269368</v>
      </c>
      <c r="Q154" s="137">
        <f>CFS_TO!Q101</f>
        <v>31.983671424981136</v>
      </c>
    </row>
    <row r="155" spans="5:17">
      <c r="E155" s="134" t="s">
        <v>185</v>
      </c>
      <c r="J155" s="129">
        <f>SUM(J153:J154)</f>
        <v>53.489726027397268</v>
      </c>
      <c r="K155" s="129">
        <f t="shared" ref="K155:Q155" si="42">SUM(K153:K154)</f>
        <v>66.039469178082186</v>
      </c>
      <c r="L155" s="129">
        <f t="shared" si="42"/>
        <v>78.937881659836052</v>
      </c>
      <c r="M155" s="129">
        <f t="shared" si="42"/>
        <v>92.174053242722621</v>
      </c>
      <c r="N155" s="129">
        <f t="shared" si="42"/>
        <v>110.61371707379068</v>
      </c>
      <c r="O155" s="129">
        <f t="shared" si="42"/>
        <v>124.36499750063545</v>
      </c>
      <c r="P155" s="129">
        <f t="shared" si="42"/>
        <v>138.60676862967972</v>
      </c>
      <c r="Q155" s="129">
        <f t="shared" si="42"/>
        <v>153.22136260848012</v>
      </c>
    </row>
    <row r="156" spans="5:17">
      <c r="E156" s="6" t="str">
        <f>Fcast_TA!E53</f>
        <v>Dividend Payout Ratio - % of NPAT</v>
      </c>
      <c r="J156" s="138">
        <f>IF(OR(J148&lt;&gt;"Yes",DD_Eq_Ord_Div_Meth&lt;&gt;1),0,Fcast_TA!J53)</f>
        <v>0.5</v>
      </c>
      <c r="K156" s="138">
        <f>IF(OR(K148&lt;&gt;"Yes",DD_Eq_Ord_Div_Meth&lt;&gt;1),0,Fcast_TA!K53)</f>
        <v>0.5</v>
      </c>
      <c r="L156" s="138">
        <f>IF(OR(L148&lt;&gt;"Yes",DD_Eq_Ord_Div_Meth&lt;&gt;1),0,Fcast_TA!L53)</f>
        <v>0.5</v>
      </c>
      <c r="M156" s="138">
        <f>IF(OR(M148&lt;&gt;"Yes",DD_Eq_Ord_Div_Meth&lt;&gt;1),0,Fcast_TA!M53)</f>
        <v>0.5</v>
      </c>
      <c r="N156" s="138">
        <f>IF(OR(N148&lt;&gt;"Yes",DD_Eq_Ord_Div_Meth&lt;&gt;1),0,Fcast_TA!N53)</f>
        <v>0.5</v>
      </c>
      <c r="O156" s="138">
        <f>IF(OR(O148&lt;&gt;"Yes",DD_Eq_Ord_Div_Meth&lt;&gt;1),0,Fcast_TA!O53)</f>
        <v>0.5</v>
      </c>
      <c r="P156" s="138">
        <f>IF(OR(P148&lt;&gt;"Yes",DD_Eq_Ord_Div_Meth&lt;&gt;1),0,Fcast_TA!P53)</f>
        <v>0.5</v>
      </c>
      <c r="Q156" s="138">
        <f>IF(OR(Q148&lt;&gt;"Yes",DD_Eq_Ord_Div_Meth&lt;&gt;1),0,Fcast_TA!Q53)</f>
        <v>0.5</v>
      </c>
    </row>
    <row r="157" spans="5:17">
      <c r="E157" s="6" t="str">
        <f>Fcast_TA!E54</f>
        <v>Assumed Dividends - Not Applied</v>
      </c>
      <c r="J157" s="139">
        <f>IF(OR(J148&lt;&gt;"Yes",DD_Eq_Ord_Div_Meth&lt;&gt;2),0,Fcast_TA!J54)</f>
        <v>0</v>
      </c>
      <c r="K157" s="139">
        <f>IF(OR(K148&lt;&gt;"Yes",DD_Eq_Ord_Div_Meth&lt;&gt;2),0,Fcast_TA!K54)</f>
        <v>0</v>
      </c>
      <c r="L157" s="139">
        <f>IF(OR(L148&lt;&gt;"Yes",DD_Eq_Ord_Div_Meth&lt;&gt;2),0,Fcast_TA!L54)</f>
        <v>0</v>
      </c>
      <c r="M157" s="139">
        <f>IF(OR(M148&lt;&gt;"Yes",DD_Eq_Ord_Div_Meth&lt;&gt;2),0,Fcast_TA!M54)</f>
        <v>0</v>
      </c>
      <c r="N157" s="139">
        <f>IF(OR(N148&lt;&gt;"Yes",DD_Eq_Ord_Div_Meth&lt;&gt;2),0,Fcast_TA!N54)</f>
        <v>0</v>
      </c>
      <c r="O157" s="139">
        <f>IF(OR(O148&lt;&gt;"Yes",DD_Eq_Ord_Div_Meth&lt;&gt;2),0,Fcast_TA!O54)</f>
        <v>0</v>
      </c>
      <c r="P157" s="139">
        <f>IF(OR(P148&lt;&gt;"Yes",DD_Eq_Ord_Div_Meth&lt;&gt;2),0,Fcast_TA!P54)</f>
        <v>0</v>
      </c>
      <c r="Q157" s="139">
        <f>IF(OR(Q148&lt;&gt;"Yes",DD_Eq_Ord_Div_Meth&lt;&gt;2),0,Fcast_TA!Q54)</f>
        <v>0</v>
      </c>
    </row>
    <row r="158" spans="5:17">
      <c r="E158" s="5" t="s">
        <v>186</v>
      </c>
      <c r="J158" s="140">
        <f t="shared" ref="J158:Q158" si="43">IF(J148&lt;&gt;"Yes",0,IF(DD_Eq_Ord_Div_Meth=1,J156*IF(CB_Eq_Ord_Inc_Open_RP_In_NPAT,J152,J151),J157))</f>
        <v>14.918749999999999</v>
      </c>
      <c r="K158" s="140">
        <f t="shared" si="43"/>
        <v>15.32015625</v>
      </c>
      <c r="L158" s="140">
        <f t="shared" si="43"/>
        <v>15.731597656250003</v>
      </c>
      <c r="M158" s="140">
        <f t="shared" si="43"/>
        <v>16.153325097656253</v>
      </c>
      <c r="N158" s="140">
        <f t="shared" si="43"/>
        <v>16.528720725097664</v>
      </c>
      <c r="O158" s="140">
        <f t="shared" si="43"/>
        <v>16.914923118225101</v>
      </c>
      <c r="P158" s="140">
        <f t="shared" si="43"/>
        <v>17.369077446180725</v>
      </c>
      <c r="Q158" s="140">
        <f t="shared" si="43"/>
        <v>17.834585632335237</v>
      </c>
    </row>
    <row r="159" spans="5:17">
      <c r="E159" s="134" t="s">
        <v>187</v>
      </c>
      <c r="J159" s="129">
        <f t="shared" ref="J159:Q159" si="44">IF(CB_Eq_Ord_Cash_Limit_Div,MAX(0,MIN(J152,J155,J158)),MAX(0,MIN(J152,J158)))</f>
        <v>14.918749999999999</v>
      </c>
      <c r="K159" s="129">
        <f t="shared" si="44"/>
        <v>15.32015625</v>
      </c>
      <c r="L159" s="129">
        <f t="shared" si="44"/>
        <v>15.731597656250003</v>
      </c>
      <c r="M159" s="129">
        <f t="shared" si="44"/>
        <v>16.153325097656253</v>
      </c>
      <c r="N159" s="129">
        <f t="shared" si="44"/>
        <v>16.528720725097664</v>
      </c>
      <c r="O159" s="129">
        <f t="shared" si="44"/>
        <v>16.914923118225101</v>
      </c>
      <c r="P159" s="129">
        <f t="shared" si="44"/>
        <v>17.369077446180725</v>
      </c>
      <c r="Q159" s="129">
        <f t="shared" si="44"/>
        <v>17.834585632335237</v>
      </c>
    </row>
    <row r="161" spans="2:17">
      <c r="E161" s="5" t="s">
        <v>188</v>
      </c>
      <c r="I161" s="123">
        <f>IF(ISERROR(SUM(J161:Q161)),0,MIN(SUM(J161:Q161),1))</f>
        <v>0</v>
      </c>
      <c r="J161" s="120">
        <f t="shared" ref="J161:Q161" si="45">IF(ISERROR(J158&lt;&gt;J159),0,(J158&lt;&gt;J159)*1)</f>
        <v>0</v>
      </c>
      <c r="K161" s="120">
        <f t="shared" si="45"/>
        <v>0</v>
      </c>
      <c r="L161" s="120">
        <f t="shared" si="45"/>
        <v>0</v>
      </c>
      <c r="M161" s="120">
        <f t="shared" si="45"/>
        <v>0</v>
      </c>
      <c r="N161" s="120">
        <f t="shared" si="45"/>
        <v>0</v>
      </c>
      <c r="O161" s="120">
        <f t="shared" si="45"/>
        <v>0</v>
      </c>
      <c r="P161" s="120">
        <f t="shared" si="45"/>
        <v>0</v>
      </c>
      <c r="Q161" s="120">
        <f t="shared" si="45"/>
        <v>0</v>
      </c>
    </row>
    <row r="163" spans="2:17" ht="12.75">
      <c r="B163" s="126" t="s">
        <v>189</v>
      </c>
    </row>
    <row r="165" spans="2:17" ht="12.75">
      <c r="B165" s="126"/>
      <c r="C165" s="124" t="str">
        <f>"Tax Expense ("&amp;INDEX(LU_Denom,DD_TS_Denom)&amp;")"</f>
        <v>Tax Expense ($Millions)</v>
      </c>
    </row>
    <row r="167" spans="2:17">
      <c r="D167" s="6" t="str">
        <f>C18</f>
        <v>Revenue</v>
      </c>
      <c r="J167" s="106">
        <f>J18</f>
        <v>125</v>
      </c>
      <c r="K167" s="106">
        <f t="shared" ref="K167:Q167" si="46">K18</f>
        <v>128.125</v>
      </c>
      <c r="L167" s="106">
        <f t="shared" si="46"/>
        <v>131.328125</v>
      </c>
      <c r="M167" s="106">
        <f t="shared" si="46"/>
        <v>134.611328125</v>
      </c>
      <c r="N167" s="106">
        <f t="shared" si="46"/>
        <v>137.97661132812499</v>
      </c>
      <c r="O167" s="106">
        <f t="shared" si="46"/>
        <v>141.4260266113281</v>
      </c>
      <c r="P167" s="106">
        <f t="shared" si="46"/>
        <v>144.96167727661128</v>
      </c>
      <c r="Q167" s="106">
        <f t="shared" si="46"/>
        <v>148.58571920852654</v>
      </c>
    </row>
    <row r="168" spans="2:17">
      <c r="D168" s="6" t="str">
        <f>C19</f>
        <v>Cost of Goods Sold</v>
      </c>
      <c r="J168" s="106">
        <f>-J19</f>
        <v>-25</v>
      </c>
      <c r="K168" s="106">
        <f t="shared" ref="K168:Q168" si="47">-K19</f>
        <v>-25.624999999999996</v>
      </c>
      <c r="L168" s="106">
        <f t="shared" si="47"/>
        <v>-26.265624999999993</v>
      </c>
      <c r="M168" s="106">
        <f t="shared" si="47"/>
        <v>-26.922265624999991</v>
      </c>
      <c r="N168" s="106">
        <f t="shared" si="47"/>
        <v>-27.59532226562499</v>
      </c>
      <c r="O168" s="106">
        <f t="shared" si="47"/>
        <v>-28.285205322265611</v>
      </c>
      <c r="P168" s="106">
        <f t="shared" si="47"/>
        <v>-28.992335455322248</v>
      </c>
      <c r="Q168" s="106">
        <f t="shared" si="47"/>
        <v>-29.717143841705301</v>
      </c>
    </row>
    <row r="169" spans="2:17">
      <c r="D169" s="6" t="str">
        <f t="shared" ref="D169" si="48">C20</f>
        <v>Operating Expenditure</v>
      </c>
      <c r="J169" s="106">
        <f t="shared" ref="J169:Q169" si="49">-J20</f>
        <v>-40</v>
      </c>
      <c r="K169" s="106">
        <f t="shared" si="49"/>
        <v>-41</v>
      </c>
      <c r="L169" s="106">
        <f t="shared" si="49"/>
        <v>-42.024999999999999</v>
      </c>
      <c r="M169" s="106">
        <f t="shared" si="49"/>
        <v>-43.075624999999995</v>
      </c>
      <c r="N169" s="106">
        <f t="shared" si="49"/>
        <v>-44.152515624999992</v>
      </c>
      <c r="O169" s="106">
        <f t="shared" si="49"/>
        <v>-45.256328515624986</v>
      </c>
      <c r="P169" s="106">
        <f t="shared" si="49"/>
        <v>-46.387736728515605</v>
      </c>
      <c r="Q169" s="106">
        <f t="shared" si="49"/>
        <v>-47.547430146728495</v>
      </c>
    </row>
    <row r="170" spans="2:17">
      <c r="D170" s="6" t="str">
        <f>D71</f>
        <v>Depreciation</v>
      </c>
      <c r="J170" s="106">
        <f>J71</f>
        <v>-13.5</v>
      </c>
      <c r="K170" s="106">
        <f t="shared" ref="K170:Q170" si="50">K71</f>
        <v>-13.837499999999999</v>
      </c>
      <c r="L170" s="106">
        <f t="shared" si="50"/>
        <v>-14.183437499999997</v>
      </c>
      <c r="M170" s="106">
        <f t="shared" si="50"/>
        <v>-14.538023437499994</v>
      </c>
      <c r="N170" s="106">
        <f t="shared" si="50"/>
        <v>-14.901474023437492</v>
      </c>
      <c r="O170" s="106">
        <f t="shared" si="50"/>
        <v>-15.274010874023428</v>
      </c>
      <c r="P170" s="106">
        <f t="shared" si="50"/>
        <v>-15.655861145874013</v>
      </c>
      <c r="Q170" s="106">
        <f t="shared" si="50"/>
        <v>-16.047257674520861</v>
      </c>
    </row>
    <row r="171" spans="2:17">
      <c r="D171" s="6" t="str">
        <f>D83</f>
        <v>Amortization</v>
      </c>
      <c r="J171" s="106">
        <f>J83</f>
        <v>-0.625</v>
      </c>
      <c r="K171" s="106">
        <f t="shared" ref="K171:Q171" si="51">K83</f>
        <v>-0.640625</v>
      </c>
      <c r="L171" s="106">
        <f t="shared" si="51"/>
        <v>-0.65664062499999998</v>
      </c>
      <c r="M171" s="106">
        <f t="shared" si="51"/>
        <v>-0.67305664062499992</v>
      </c>
      <c r="N171" s="106">
        <f t="shared" si="51"/>
        <v>-0.68988305664062488</v>
      </c>
      <c r="O171" s="106">
        <f t="shared" si="51"/>
        <v>-0.70713013305664041</v>
      </c>
      <c r="P171" s="106">
        <f t="shared" si="51"/>
        <v>-0.72480838638305634</v>
      </c>
      <c r="Q171" s="106">
        <f t="shared" si="51"/>
        <v>-0.74292859604263273</v>
      </c>
    </row>
    <row r="172" spans="2:17">
      <c r="D172" s="6" t="str">
        <f>E116</f>
        <v>Interest Expense</v>
      </c>
      <c r="E172" s="6"/>
      <c r="J172" s="106">
        <f>-J116</f>
        <v>-3.25</v>
      </c>
      <c r="K172" s="106">
        <f t="shared" ref="K172:Q172" si="52">-K116</f>
        <v>-3.25</v>
      </c>
      <c r="L172" s="106">
        <f t="shared" si="52"/>
        <v>-3.25</v>
      </c>
      <c r="M172" s="106">
        <f t="shared" si="52"/>
        <v>-3.25</v>
      </c>
      <c r="N172" s="106">
        <f t="shared" si="52"/>
        <v>-3.4125000000000001</v>
      </c>
      <c r="O172" s="106">
        <f t="shared" si="52"/>
        <v>-3.5750000000000002</v>
      </c>
      <c r="P172" s="106">
        <f t="shared" si="52"/>
        <v>-3.5750000000000002</v>
      </c>
      <c r="Q172" s="106">
        <f t="shared" si="52"/>
        <v>-3.5750000000000002</v>
      </c>
    </row>
    <row r="173" spans="2:17">
      <c r="D173" s="134" t="s">
        <v>190</v>
      </c>
      <c r="J173" s="119">
        <f>SUM(J167:J172)</f>
        <v>42.625</v>
      </c>
      <c r="K173" s="119">
        <f t="shared" ref="K173:Q173" si="53">SUM(K167:K172)</f>
        <v>43.771875000000001</v>
      </c>
      <c r="L173" s="119">
        <f t="shared" si="53"/>
        <v>44.947421875000003</v>
      </c>
      <c r="M173" s="119">
        <f t="shared" si="53"/>
        <v>46.15235742187501</v>
      </c>
      <c r="N173" s="119">
        <f t="shared" si="53"/>
        <v>47.22491635742189</v>
      </c>
      <c r="O173" s="119">
        <f t="shared" si="53"/>
        <v>48.328351766357429</v>
      </c>
      <c r="P173" s="119">
        <f t="shared" si="53"/>
        <v>49.625935560516361</v>
      </c>
      <c r="Q173" s="119">
        <f t="shared" si="53"/>
        <v>50.955958949529247</v>
      </c>
    </row>
    <row r="174" spans="2:17">
      <c r="J174" s="106"/>
      <c r="K174" s="106"/>
      <c r="L174" s="106"/>
      <c r="M174" s="106"/>
      <c r="N174" s="106"/>
      <c r="O174" s="106"/>
      <c r="P174" s="106"/>
      <c r="Q174" s="106"/>
    </row>
    <row r="175" spans="2:17">
      <c r="D175" s="134" t="s">
        <v>191</v>
      </c>
      <c r="J175" s="141">
        <f t="shared" ref="J175:Q175" si="54">J173</f>
        <v>42.625</v>
      </c>
      <c r="K175" s="141">
        <f t="shared" si="54"/>
        <v>43.771875000000001</v>
      </c>
      <c r="L175" s="141">
        <f t="shared" si="54"/>
        <v>44.947421875000003</v>
      </c>
      <c r="M175" s="141">
        <f t="shared" si="54"/>
        <v>46.15235742187501</v>
      </c>
      <c r="N175" s="141">
        <f t="shared" si="54"/>
        <v>47.22491635742189</v>
      </c>
      <c r="O175" s="141">
        <f t="shared" si="54"/>
        <v>48.328351766357429</v>
      </c>
      <c r="P175" s="141">
        <f t="shared" si="54"/>
        <v>49.625935560516361</v>
      </c>
      <c r="Q175" s="141">
        <f t="shared" si="54"/>
        <v>50.955958949529247</v>
      </c>
    </row>
    <row r="177" spans="2:17">
      <c r="D177" s="6" t="str">
        <f>Fcast_TA!D72</f>
        <v>Corporate Taxation Rate</v>
      </c>
      <c r="J177" s="125">
        <f>Fcast_TA!$J$72</f>
        <v>0.3</v>
      </c>
      <c r="K177" s="125">
        <f>Fcast_TA!$J$72</f>
        <v>0.3</v>
      </c>
      <c r="L177" s="125">
        <f>Fcast_TA!$J$72</f>
        <v>0.3</v>
      </c>
      <c r="M177" s="125">
        <f>Fcast_TA!$J$72</f>
        <v>0.3</v>
      </c>
      <c r="N177" s="125">
        <f>Fcast_TA!$J$72</f>
        <v>0.3</v>
      </c>
      <c r="O177" s="125">
        <f>Fcast_TA!$J$72</f>
        <v>0.3</v>
      </c>
      <c r="P177" s="125">
        <f>Fcast_TA!$J$72</f>
        <v>0.3</v>
      </c>
      <c r="Q177" s="125">
        <f>Fcast_TA!$J$72</f>
        <v>0.3</v>
      </c>
    </row>
    <row r="179" spans="2:17" ht="11.25" thickBot="1">
      <c r="D179" s="134" t="s">
        <v>192</v>
      </c>
      <c r="J179" s="142">
        <f t="shared" ref="J179:Q179" si="55">J175*J177</f>
        <v>12.7875</v>
      </c>
      <c r="K179" s="142">
        <f t="shared" si="55"/>
        <v>13.131562499999999</v>
      </c>
      <c r="L179" s="142">
        <f t="shared" si="55"/>
        <v>13.4842265625</v>
      </c>
      <c r="M179" s="142">
        <f t="shared" si="55"/>
        <v>13.845707226562503</v>
      </c>
      <c r="N179" s="142">
        <f t="shared" si="55"/>
        <v>14.167474907226566</v>
      </c>
      <c r="O179" s="142">
        <f t="shared" si="55"/>
        <v>14.498505529907227</v>
      </c>
      <c r="P179" s="142">
        <f t="shared" si="55"/>
        <v>14.887780668154907</v>
      </c>
      <c r="Q179" s="142">
        <f t="shared" si="55"/>
        <v>15.286787684858773</v>
      </c>
    </row>
    <row r="180" spans="2:17" ht="11.25" thickTop="1"/>
    <row r="181" spans="2:17" ht="11.25">
      <c r="C181" s="127" t="s">
        <v>193</v>
      </c>
    </row>
    <row r="183" spans="2:17">
      <c r="D183" s="5" t="s">
        <v>116</v>
      </c>
      <c r="J183" s="106">
        <f>IF(J$12=1,Fcast_TA!$J$68,I186)</f>
        <v>3.5</v>
      </c>
      <c r="K183" s="106">
        <f>IF(K$12=1,Fcast_TA!$J$68,J186)</f>
        <v>12.787500000000001</v>
      </c>
      <c r="L183" s="106">
        <f>IF(L$12=1,Fcast_TA!$J$68,K186)</f>
        <v>13.131562500000003</v>
      </c>
      <c r="M183" s="106">
        <f>IF(M$12=1,Fcast_TA!$J$68,L186)</f>
        <v>13.484226562500004</v>
      </c>
      <c r="N183" s="106">
        <f>IF(N$12=1,Fcast_TA!$J$68,M186)</f>
        <v>13.845707226562508</v>
      </c>
      <c r="O183" s="106">
        <f>IF(O$12=1,Fcast_TA!$J$68,N186)</f>
        <v>14.16747490722657</v>
      </c>
      <c r="P183" s="106">
        <f>IF(P$12=1,Fcast_TA!$J$68,O186)</f>
        <v>14.498505529907231</v>
      </c>
      <c r="Q183" s="106">
        <f>IF(Q$12=1,Fcast_TA!$J$68,P186)</f>
        <v>14.88778066815491</v>
      </c>
    </row>
    <row r="184" spans="2:17">
      <c r="D184" s="6" t="str">
        <f>D179</f>
        <v>Tax Expense / (Benefit)</v>
      </c>
      <c r="J184" s="106">
        <f>J179</f>
        <v>12.7875</v>
      </c>
      <c r="K184" s="106">
        <f t="shared" ref="K184:Q184" si="56">K179</f>
        <v>13.131562499999999</v>
      </c>
      <c r="L184" s="106">
        <f t="shared" si="56"/>
        <v>13.4842265625</v>
      </c>
      <c r="M184" s="106">
        <f t="shared" si="56"/>
        <v>13.845707226562503</v>
      </c>
      <c r="N184" s="106">
        <f t="shared" si="56"/>
        <v>14.167474907226566</v>
      </c>
      <c r="O184" s="106">
        <f t="shared" si="56"/>
        <v>14.498505529907227</v>
      </c>
      <c r="P184" s="106">
        <f t="shared" si="56"/>
        <v>14.887780668154907</v>
      </c>
      <c r="Q184" s="106">
        <f t="shared" si="56"/>
        <v>15.286787684858773</v>
      </c>
    </row>
    <row r="185" spans="2:17">
      <c r="D185" s="5" t="s">
        <v>194</v>
      </c>
      <c r="J185" s="128">
        <f>IF(J$12=1,-J183,-I184)</f>
        <v>-3.5</v>
      </c>
      <c r="K185" s="128">
        <f t="shared" ref="K185:Q185" si="57">IF(K$12=1,-K183,-J184)</f>
        <v>-12.7875</v>
      </c>
      <c r="L185" s="128">
        <f t="shared" si="57"/>
        <v>-13.131562499999999</v>
      </c>
      <c r="M185" s="128">
        <f t="shared" si="57"/>
        <v>-13.4842265625</v>
      </c>
      <c r="N185" s="128">
        <f t="shared" si="57"/>
        <v>-13.845707226562503</v>
      </c>
      <c r="O185" s="128">
        <f t="shared" si="57"/>
        <v>-14.167474907226566</v>
      </c>
      <c r="P185" s="128">
        <f t="shared" si="57"/>
        <v>-14.498505529907227</v>
      </c>
      <c r="Q185" s="128">
        <f t="shared" si="57"/>
        <v>-14.887780668154907</v>
      </c>
    </row>
    <row r="186" spans="2:17">
      <c r="D186" s="134" t="s">
        <v>195</v>
      </c>
      <c r="J186" s="129">
        <f>SUM(J183:J185)</f>
        <v>12.787500000000001</v>
      </c>
      <c r="K186" s="129">
        <f t="shared" ref="K186:Q186" si="58">SUM(K183:K185)</f>
        <v>13.131562500000003</v>
      </c>
      <c r="L186" s="129">
        <f t="shared" si="58"/>
        <v>13.484226562500004</v>
      </c>
      <c r="M186" s="129">
        <f t="shared" si="58"/>
        <v>13.845707226562508</v>
      </c>
      <c r="N186" s="129">
        <f t="shared" si="58"/>
        <v>14.16747490722657</v>
      </c>
      <c r="O186" s="129">
        <f t="shared" si="58"/>
        <v>14.498505529907231</v>
      </c>
      <c r="P186" s="129">
        <f t="shared" si="58"/>
        <v>14.88778066815491</v>
      </c>
      <c r="Q186" s="129">
        <f t="shared" si="58"/>
        <v>15.286787684858776</v>
      </c>
    </row>
    <row r="189" spans="2:17" ht="12.75">
      <c r="B189" s="126" t="s">
        <v>196</v>
      </c>
    </row>
    <row r="191" spans="2:17" ht="11.25">
      <c r="C191" s="124" t="str">
        <f>Fcast_TA!D89&amp;" ("&amp;INDEX(LU_Denom,DD_TS_Denom)&amp;")"</f>
        <v>Other Current Assets ($Millions)</v>
      </c>
    </row>
    <row r="193" spans="3:17">
      <c r="D193" s="5" t="s">
        <v>116</v>
      </c>
      <c r="J193" s="106">
        <f>IF(J$12=1,Fcast_TA!$I$89,I195)</f>
        <v>2</v>
      </c>
      <c r="K193" s="106">
        <f>IF(K$12=1,Fcast_TA!$I$89,J195)</f>
        <v>3</v>
      </c>
      <c r="L193" s="106">
        <f>IF(L$12=1,Fcast_TA!$I$89,K195)</f>
        <v>4</v>
      </c>
      <c r="M193" s="106">
        <f>IF(M$12=1,Fcast_TA!$I$89,L195)</f>
        <v>5</v>
      </c>
      <c r="N193" s="106">
        <f>IF(N$12=1,Fcast_TA!$I$89,M195)</f>
        <v>6</v>
      </c>
      <c r="O193" s="106">
        <f>IF(O$12=1,Fcast_TA!$I$89,N195)</f>
        <v>7</v>
      </c>
      <c r="P193" s="106">
        <f>IF(P$12=1,Fcast_TA!$I$89,O195)</f>
        <v>8</v>
      </c>
      <c r="Q193" s="106">
        <f>IF(Q$12=1,Fcast_TA!$I$89,P195)</f>
        <v>9</v>
      </c>
    </row>
    <row r="194" spans="3:17">
      <c r="D194" s="5" t="s">
        <v>197</v>
      </c>
      <c r="J194" s="128">
        <f>J195-J193</f>
        <v>1</v>
      </c>
      <c r="K194" s="128">
        <f t="shared" ref="K194:Q194" si="59">K195-K193</f>
        <v>1</v>
      </c>
      <c r="L194" s="128">
        <f t="shared" si="59"/>
        <v>1</v>
      </c>
      <c r="M194" s="128">
        <f t="shared" si="59"/>
        <v>1</v>
      </c>
      <c r="N194" s="128">
        <f t="shared" si="59"/>
        <v>1</v>
      </c>
      <c r="O194" s="128">
        <f t="shared" si="59"/>
        <v>1</v>
      </c>
      <c r="P194" s="128">
        <f t="shared" si="59"/>
        <v>1</v>
      </c>
      <c r="Q194" s="128">
        <f t="shared" si="59"/>
        <v>1</v>
      </c>
    </row>
    <row r="195" spans="3:17">
      <c r="D195" s="134" t="s">
        <v>195</v>
      </c>
      <c r="J195" s="129">
        <f>Fcast_TA!J89</f>
        <v>3</v>
      </c>
      <c r="K195" s="129">
        <f>Fcast_TA!K89</f>
        <v>4</v>
      </c>
      <c r="L195" s="129">
        <f>Fcast_TA!L89</f>
        <v>5</v>
      </c>
      <c r="M195" s="129">
        <f>Fcast_TA!M89</f>
        <v>6</v>
      </c>
      <c r="N195" s="129">
        <f>Fcast_TA!N89</f>
        <v>7</v>
      </c>
      <c r="O195" s="129">
        <f>Fcast_TA!O89</f>
        <v>8</v>
      </c>
      <c r="P195" s="129">
        <f>Fcast_TA!P89</f>
        <v>9</v>
      </c>
      <c r="Q195" s="129">
        <f>Fcast_TA!Q89</f>
        <v>10</v>
      </c>
    </row>
    <row r="197" spans="3:17" ht="11.25">
      <c r="C197" s="124" t="str">
        <f>Fcast_TA!D90&amp;" ("&amp;INDEX(LU_Denom,DD_TS_Denom)&amp;")"</f>
        <v>Other Current Liabilities ($Millions)</v>
      </c>
    </row>
    <row r="199" spans="3:17">
      <c r="D199" s="5" t="s">
        <v>116</v>
      </c>
      <c r="J199" s="106">
        <f>IF(J$12=1,Fcast_TA!$I$90,I201)</f>
        <v>3</v>
      </c>
      <c r="K199" s="106">
        <f>IF(K$12=1,Fcast_TA!$I$90,J201)</f>
        <v>4</v>
      </c>
      <c r="L199" s="106">
        <f>IF(L$12=1,Fcast_TA!$I$90,K201)</f>
        <v>5</v>
      </c>
      <c r="M199" s="106">
        <f>IF(M$12=1,Fcast_TA!$I$90,L201)</f>
        <v>6</v>
      </c>
      <c r="N199" s="106">
        <f>IF(N$12=1,Fcast_TA!$I$90,M201)</f>
        <v>7</v>
      </c>
      <c r="O199" s="106">
        <f>IF(O$12=1,Fcast_TA!$I$90,N201)</f>
        <v>8</v>
      </c>
      <c r="P199" s="106">
        <f>IF(P$12=1,Fcast_TA!$I$90,O201)</f>
        <v>9</v>
      </c>
      <c r="Q199" s="106">
        <f>IF(Q$12=1,Fcast_TA!$I$90,P201)</f>
        <v>10</v>
      </c>
    </row>
    <row r="200" spans="3:17">
      <c r="D200" s="5" t="s">
        <v>197</v>
      </c>
      <c r="J200" s="128">
        <f>J201-J199</f>
        <v>1</v>
      </c>
      <c r="K200" s="128">
        <f t="shared" ref="K200:Q200" si="60">K201-K199</f>
        <v>1</v>
      </c>
      <c r="L200" s="128">
        <f t="shared" si="60"/>
        <v>1</v>
      </c>
      <c r="M200" s="128">
        <f t="shared" si="60"/>
        <v>1</v>
      </c>
      <c r="N200" s="128">
        <f t="shared" si="60"/>
        <v>1</v>
      </c>
      <c r="O200" s="128">
        <f t="shared" si="60"/>
        <v>1</v>
      </c>
      <c r="P200" s="128">
        <f t="shared" si="60"/>
        <v>1</v>
      </c>
      <c r="Q200" s="128">
        <f t="shared" si="60"/>
        <v>1</v>
      </c>
    </row>
    <row r="201" spans="3:17">
      <c r="D201" s="134" t="s">
        <v>195</v>
      </c>
      <c r="J201" s="129">
        <f>Fcast_TA!J90</f>
        <v>4</v>
      </c>
      <c r="K201" s="129">
        <f>Fcast_TA!K90</f>
        <v>5</v>
      </c>
      <c r="L201" s="129">
        <f>Fcast_TA!L90</f>
        <v>6</v>
      </c>
      <c r="M201" s="129">
        <f>Fcast_TA!M90</f>
        <v>7</v>
      </c>
      <c r="N201" s="129">
        <f>Fcast_TA!N90</f>
        <v>8</v>
      </c>
      <c r="O201" s="129">
        <f>Fcast_TA!O90</f>
        <v>9</v>
      </c>
      <c r="P201" s="129">
        <f>Fcast_TA!P90</f>
        <v>10</v>
      </c>
      <c r="Q201" s="129">
        <f>Fcast_TA!Q90</f>
        <v>11</v>
      </c>
    </row>
    <row r="203" spans="3:17" ht="11.25">
      <c r="C203" s="124" t="str">
        <f>Fcast_TA!D91&amp;" ("&amp;INDEX(LU_Denom,DD_TS_Denom)&amp;")"</f>
        <v>Other Non-Current Assets ($Millions)</v>
      </c>
    </row>
    <row r="205" spans="3:17">
      <c r="D205" s="5" t="s">
        <v>116</v>
      </c>
      <c r="J205" s="106">
        <f>IF(J$12=1,Fcast_TA!$I$91,I207)</f>
        <v>4</v>
      </c>
      <c r="K205" s="106">
        <f>IF(K$12=1,Fcast_TA!$I$91,J207)</f>
        <v>5</v>
      </c>
      <c r="L205" s="106">
        <f>IF(L$12=1,Fcast_TA!$I$91,K207)</f>
        <v>6</v>
      </c>
      <c r="M205" s="106">
        <f>IF(M$12=1,Fcast_TA!$I$91,L207)</f>
        <v>7</v>
      </c>
      <c r="N205" s="106">
        <f>IF(N$12=1,Fcast_TA!$I$91,M207)</f>
        <v>8</v>
      </c>
      <c r="O205" s="106">
        <f>IF(O$12=1,Fcast_TA!$I$91,N207)</f>
        <v>9</v>
      </c>
      <c r="P205" s="106">
        <f>IF(P$12=1,Fcast_TA!$I$91,O207)</f>
        <v>10</v>
      </c>
      <c r="Q205" s="106">
        <f>IF(Q$12=1,Fcast_TA!$I$91,P207)</f>
        <v>11</v>
      </c>
    </row>
    <row r="206" spans="3:17">
      <c r="D206" s="5" t="s">
        <v>197</v>
      </c>
      <c r="J206" s="128">
        <f>J207-J205</f>
        <v>1</v>
      </c>
      <c r="K206" s="128">
        <f t="shared" ref="K206:Q206" si="61">K207-K205</f>
        <v>1</v>
      </c>
      <c r="L206" s="128">
        <f t="shared" si="61"/>
        <v>1</v>
      </c>
      <c r="M206" s="128">
        <f t="shared" si="61"/>
        <v>1</v>
      </c>
      <c r="N206" s="128">
        <f t="shared" si="61"/>
        <v>1</v>
      </c>
      <c r="O206" s="128">
        <f t="shared" si="61"/>
        <v>1</v>
      </c>
      <c r="P206" s="128">
        <f t="shared" si="61"/>
        <v>1</v>
      </c>
      <c r="Q206" s="128">
        <f t="shared" si="61"/>
        <v>1</v>
      </c>
    </row>
    <row r="207" spans="3:17">
      <c r="D207" s="134" t="s">
        <v>195</v>
      </c>
      <c r="J207" s="129">
        <f>Fcast_TA!J91</f>
        <v>5</v>
      </c>
      <c r="K207" s="129">
        <f>Fcast_TA!K91</f>
        <v>6</v>
      </c>
      <c r="L207" s="129">
        <f>Fcast_TA!L91</f>
        <v>7</v>
      </c>
      <c r="M207" s="129">
        <f>Fcast_TA!M91</f>
        <v>8</v>
      </c>
      <c r="N207" s="129">
        <f>Fcast_TA!N91</f>
        <v>9</v>
      </c>
      <c r="O207" s="129">
        <f>Fcast_TA!O91</f>
        <v>10</v>
      </c>
      <c r="P207" s="129">
        <f>Fcast_TA!P91</f>
        <v>11</v>
      </c>
      <c r="Q207" s="129">
        <f>Fcast_TA!Q91</f>
        <v>12</v>
      </c>
    </row>
    <row r="209" spans="3:17" ht="11.25">
      <c r="C209" s="124" t="str">
        <f>Fcast_TA!D92&amp;" ("&amp;INDEX(LU_Denom,DD_TS_Denom)&amp;")"</f>
        <v>Other Non-Current Liabilities ($Millions)</v>
      </c>
    </row>
    <row r="211" spans="3:17">
      <c r="D211" s="5" t="s">
        <v>116</v>
      </c>
      <c r="J211" s="106">
        <f>IF(J$12=1,Fcast_TA!$I$92,I213)</f>
        <v>5</v>
      </c>
      <c r="K211" s="106">
        <f>IF(K$12=1,Fcast_TA!$I$92,J213)</f>
        <v>6</v>
      </c>
      <c r="L211" s="106">
        <f>IF(L$12=1,Fcast_TA!$I$92,K213)</f>
        <v>7</v>
      </c>
      <c r="M211" s="106">
        <f>IF(M$12=1,Fcast_TA!$I$92,L213)</f>
        <v>8</v>
      </c>
      <c r="N211" s="106">
        <f>IF(N$12=1,Fcast_TA!$I$92,M213)</f>
        <v>9</v>
      </c>
      <c r="O211" s="106">
        <f>IF(O$12=1,Fcast_TA!$I$92,N213)</f>
        <v>10</v>
      </c>
      <c r="P211" s="106">
        <f>IF(P$12=1,Fcast_TA!$I$92,O213)</f>
        <v>11</v>
      </c>
      <c r="Q211" s="106">
        <f>IF(Q$12=1,Fcast_TA!$I$92,P213)</f>
        <v>12</v>
      </c>
    </row>
    <row r="212" spans="3:17">
      <c r="D212" s="5" t="s">
        <v>197</v>
      </c>
      <c r="J212" s="128">
        <f>J213-J211</f>
        <v>1</v>
      </c>
      <c r="K212" s="128">
        <f t="shared" ref="K212:Q212" si="62">K213-K211</f>
        <v>1</v>
      </c>
      <c r="L212" s="128">
        <f t="shared" si="62"/>
        <v>1</v>
      </c>
      <c r="M212" s="128">
        <f t="shared" si="62"/>
        <v>1</v>
      </c>
      <c r="N212" s="128">
        <f t="shared" si="62"/>
        <v>1</v>
      </c>
      <c r="O212" s="128">
        <f t="shared" si="62"/>
        <v>1</v>
      </c>
      <c r="P212" s="128">
        <f t="shared" si="62"/>
        <v>1</v>
      </c>
      <c r="Q212" s="128">
        <f t="shared" si="62"/>
        <v>1</v>
      </c>
    </row>
    <row r="213" spans="3:17">
      <c r="D213" s="134" t="s">
        <v>195</v>
      </c>
      <c r="J213" s="129">
        <f>Fcast_TA!J92</f>
        <v>6</v>
      </c>
      <c r="K213" s="129">
        <f>Fcast_TA!K92</f>
        <v>7</v>
      </c>
      <c r="L213" s="129">
        <f>Fcast_TA!L92</f>
        <v>8</v>
      </c>
      <c r="M213" s="129">
        <f>Fcast_TA!M92</f>
        <v>9</v>
      </c>
      <c r="N213" s="129">
        <f>Fcast_TA!N92</f>
        <v>10</v>
      </c>
      <c r="O213" s="129">
        <f>Fcast_TA!O92</f>
        <v>11</v>
      </c>
      <c r="P213" s="129">
        <f>Fcast_TA!P92</f>
        <v>12</v>
      </c>
      <c r="Q213" s="129">
        <f>Fcast_TA!Q92</f>
        <v>13</v>
      </c>
    </row>
  </sheetData>
  <mergeCells count="1">
    <mergeCell ref="B3:F3"/>
  </mergeCells>
  <conditionalFormatting sqref="D43">
    <cfRule type="expression" dxfId="52" priority="11" stopIfTrue="1">
      <formula>I43&lt;&gt;0</formula>
    </cfRule>
  </conditionalFormatting>
  <conditionalFormatting sqref="I161:Q161 J53:Q57 J39:Q43 J74:Q76 I142 J86:Q88 J139:Q142">
    <cfRule type="cellIs" dxfId="51" priority="10" stopIfTrue="1" operator="notEqual">
      <formula>0</formula>
    </cfRule>
  </conditionalFormatting>
  <conditionalFormatting sqref="D57">
    <cfRule type="expression" dxfId="50" priority="9" stopIfTrue="1">
      <formula>I57&lt;&gt;0</formula>
    </cfRule>
  </conditionalFormatting>
  <conditionalFormatting sqref="D76">
    <cfRule type="expression" dxfId="49" priority="8" stopIfTrue="1">
      <formula>I76&lt;&gt;0</formula>
    </cfRule>
  </conditionalFormatting>
  <conditionalFormatting sqref="D88">
    <cfRule type="expression" dxfId="48" priority="7" stopIfTrue="1">
      <formula>I88&lt;&gt;0</formula>
    </cfRule>
  </conditionalFormatting>
  <conditionalFormatting sqref="E142 E161">
    <cfRule type="expression" dxfId="47" priority="6" stopIfTrue="1">
      <formula>I142&lt;&gt;0</formula>
    </cfRule>
  </conditionalFormatting>
  <conditionalFormatting sqref="J148:Q148">
    <cfRule type="cellIs" dxfId="46" priority="5" stopIfTrue="1" operator="equal">
      <formula>"Yes"</formula>
    </cfRule>
  </conditionalFormatting>
  <conditionalFormatting sqref="I43">
    <cfRule type="cellIs" dxfId="45" priority="4" stopIfTrue="1" operator="notEqual">
      <formula>0</formula>
    </cfRule>
  </conditionalFormatting>
  <conditionalFormatting sqref="I57">
    <cfRule type="cellIs" dxfId="44" priority="3" stopIfTrue="1" operator="notEqual">
      <formula>0</formula>
    </cfRule>
  </conditionalFormatting>
  <conditionalFormatting sqref="I76">
    <cfRule type="cellIs" dxfId="43" priority="2" stopIfTrue="1" operator="notEqual">
      <formula>0</formula>
    </cfRule>
  </conditionalFormatting>
  <conditionalFormatting sqref="I88">
    <cfRule type="cellIs" dxfId="42" priority="1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7" manualBreakCount="7">
    <brk id="28" min="1" max="16" man="1"/>
    <brk id="63" min="1" max="16" man="1"/>
    <brk id="94" min="1" max="16" man="1"/>
    <brk id="122" min="1" max="16" man="1"/>
    <brk id="143" min="1" max="16" man="1"/>
    <brk id="162" min="1" max="16" man="1"/>
    <brk id="188" min="1" max="16" man="1"/>
  </rowBreaks>
  <legacy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198</v>
      </c>
    </row>
    <row r="10" spans="3:7" ht="16.5">
      <c r="C10" s="12" t="s">
        <v>199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200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35" tooltip="Go to Next Sheet" display="HL_Sheet_Main_3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Q46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201</v>
      </c>
    </row>
    <row r="2" spans="1:17" ht="15">
      <c r="B2" s="7" t="str">
        <f>Model_Name</f>
        <v>SMA 13. Multiple Workbooks - Best Practice Model Example 1</v>
      </c>
    </row>
    <row r="3" spans="1:17">
      <c r="B3" s="241" t="s">
        <v>1</v>
      </c>
      <c r="C3" s="241"/>
      <c r="D3" s="241"/>
      <c r="E3" s="241"/>
      <c r="F3" s="241"/>
    </row>
    <row r="4" spans="1:17" ht="12.75">
      <c r="A4" s="91" t="s">
        <v>10</v>
      </c>
      <c r="B4" s="13" t="s">
        <v>26</v>
      </c>
      <c r="C4" s="14" t="s">
        <v>27</v>
      </c>
      <c r="D4" s="92" t="s">
        <v>38</v>
      </c>
      <c r="E4" s="92" t="s">
        <v>39</v>
      </c>
      <c r="F4" s="93" t="s">
        <v>40</v>
      </c>
    </row>
    <row r="6" spans="1:17">
      <c r="B6" s="94" t="str">
        <f>IF(TS_Pers_In_Yr=1,"",TS_Per_Type_Name&amp;" Ending")</f>
        <v/>
      </c>
      <c r="J6" s="95" t="str">
        <f t="shared" ref="J6:Q6" si="0">IF(TS_Pers_In_Yr=1,"",LEFT(INDEX(LU_Mth_Names,MONTH(J9)),3)&amp;"-"&amp;RIGHT(YEAR(J9),2))&amp;" "</f>
        <v xml:space="preserve"> </v>
      </c>
      <c r="K6" s="95" t="str">
        <f t="shared" si="0"/>
        <v xml:space="preserve"> </v>
      </c>
      <c r="L6" s="95" t="str">
        <f t="shared" si="0"/>
        <v xml:space="preserve"> </v>
      </c>
      <c r="M6" s="95" t="str">
        <f t="shared" si="0"/>
        <v xml:space="preserve"> </v>
      </c>
      <c r="N6" s="95" t="str">
        <f t="shared" si="0"/>
        <v xml:space="preserve"> </v>
      </c>
      <c r="O6" s="95" t="str">
        <f t="shared" si="0"/>
        <v xml:space="preserve"> </v>
      </c>
      <c r="P6" s="95" t="str">
        <f t="shared" si="0"/>
        <v xml:space="preserve"> </v>
      </c>
      <c r="Q6" s="95" t="str">
        <f t="shared" si="0"/>
        <v xml:space="preserve"> </v>
      </c>
    </row>
    <row r="7" spans="1:17">
      <c r="B7" s="96" t="str">
        <f>IF(TS_Pers_In_Yr=1,Yr_Name&amp;" Ending "&amp;DAY(TS_Per_1_End_Date)&amp;" "&amp;INDEX(LU_Mth_Names,DD_TS_Fin_YE_Mth),TS_Per_Type_Name)</f>
        <v>Year Ending 31 December</v>
      </c>
      <c r="C7" s="97"/>
      <c r="D7" s="97"/>
      <c r="E7" s="97"/>
      <c r="F7" s="97"/>
      <c r="G7" s="97"/>
      <c r="H7" s="97"/>
      <c r="I7" s="97"/>
      <c r="J7" s="98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98" t="str">
        <f t="shared" si="1"/>
        <v xml:space="preserve">2011 (F) </v>
      </c>
      <c r="L7" s="98" t="str">
        <f t="shared" si="1"/>
        <v xml:space="preserve">2012 (F) </v>
      </c>
      <c r="M7" s="98" t="str">
        <f t="shared" si="1"/>
        <v xml:space="preserve">2013 (F) </v>
      </c>
      <c r="N7" s="98" t="str">
        <f t="shared" si="1"/>
        <v xml:space="preserve">2014 (F) </v>
      </c>
      <c r="O7" s="98" t="str">
        <f t="shared" si="1"/>
        <v xml:space="preserve">2015 (F) </v>
      </c>
      <c r="P7" s="98" t="str">
        <f t="shared" si="1"/>
        <v xml:space="preserve">2016 (F) </v>
      </c>
      <c r="Q7" s="98" t="str">
        <f t="shared" si="1"/>
        <v xml:space="preserve">2017 (F) </v>
      </c>
    </row>
    <row r="8" spans="1:17" hidden="1" outlineLevel="2">
      <c r="B8" s="15" t="s">
        <v>108</v>
      </c>
      <c r="J8" s="99">
        <f t="shared" ref="J8:Q8" si="2">IF(J12=1,TS_Start_Date,I9+1)</f>
        <v>40179</v>
      </c>
      <c r="K8" s="99">
        <f t="shared" si="2"/>
        <v>40544</v>
      </c>
      <c r="L8" s="99">
        <f t="shared" si="2"/>
        <v>40909</v>
      </c>
      <c r="M8" s="99">
        <f t="shared" si="2"/>
        <v>41275</v>
      </c>
      <c r="N8" s="99">
        <f t="shared" si="2"/>
        <v>41640</v>
      </c>
      <c r="O8" s="99">
        <f t="shared" si="2"/>
        <v>42005</v>
      </c>
      <c r="P8" s="99">
        <f t="shared" si="2"/>
        <v>42370</v>
      </c>
      <c r="Q8" s="99">
        <f t="shared" si="2"/>
        <v>42736</v>
      </c>
    </row>
    <row r="9" spans="1:17" hidden="1" outlineLevel="2">
      <c r="B9" s="15" t="s">
        <v>109</v>
      </c>
      <c r="J9" s="9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99">
        <f t="shared" si="3"/>
        <v>40908</v>
      </c>
      <c r="L9" s="99">
        <f t="shared" si="3"/>
        <v>41274</v>
      </c>
      <c r="M9" s="99">
        <f t="shared" si="3"/>
        <v>41639</v>
      </c>
      <c r="N9" s="99">
        <f t="shared" si="3"/>
        <v>42004</v>
      </c>
      <c r="O9" s="99">
        <f t="shared" si="3"/>
        <v>42369</v>
      </c>
      <c r="P9" s="99">
        <f t="shared" si="3"/>
        <v>42735</v>
      </c>
      <c r="Q9" s="99">
        <f t="shared" si="3"/>
        <v>43100</v>
      </c>
    </row>
    <row r="10" spans="1:17" hidden="1" outlineLevel="2">
      <c r="B10" s="15" t="s">
        <v>110</v>
      </c>
      <c r="J10" s="100">
        <f t="shared" ref="J10:Q10" si="4">YEAR(TS_Per_1_FY_End_Date)+INT((TS_Per_1_Number+J12-2)/TS_Pers_In_Yr)</f>
        <v>2010</v>
      </c>
      <c r="K10" s="100">
        <f t="shared" si="4"/>
        <v>2011</v>
      </c>
      <c r="L10" s="100">
        <f t="shared" si="4"/>
        <v>2012</v>
      </c>
      <c r="M10" s="100">
        <f t="shared" si="4"/>
        <v>2013</v>
      </c>
      <c r="N10" s="100">
        <f t="shared" si="4"/>
        <v>2014</v>
      </c>
      <c r="O10" s="100">
        <f t="shared" si="4"/>
        <v>2015</v>
      </c>
      <c r="P10" s="100">
        <f t="shared" si="4"/>
        <v>2016</v>
      </c>
      <c r="Q10" s="100">
        <f t="shared" si="4"/>
        <v>2017</v>
      </c>
    </row>
    <row r="11" spans="1:17" hidden="1" outlineLevel="2">
      <c r="B11" s="15" t="s">
        <v>111</v>
      </c>
      <c r="J11" s="10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1" t="str">
        <f t="shared" si="5"/>
        <v xml:space="preserve">Year </v>
      </c>
      <c r="L11" s="101" t="str">
        <f t="shared" si="5"/>
        <v xml:space="preserve">Year </v>
      </c>
      <c r="M11" s="101" t="str">
        <f t="shared" si="5"/>
        <v xml:space="preserve">Year </v>
      </c>
      <c r="N11" s="101" t="str">
        <f t="shared" si="5"/>
        <v xml:space="preserve">Year </v>
      </c>
      <c r="O11" s="101" t="str">
        <f t="shared" si="5"/>
        <v xml:space="preserve">Year </v>
      </c>
      <c r="P11" s="101" t="str">
        <f t="shared" si="5"/>
        <v xml:space="preserve">Year </v>
      </c>
      <c r="Q11" s="101" t="str">
        <f t="shared" si="5"/>
        <v xml:space="preserve">Year </v>
      </c>
    </row>
    <row r="12" spans="1:17" hidden="1" outlineLevel="2">
      <c r="B12" s="15" t="s">
        <v>112</v>
      </c>
      <c r="J12" s="102">
        <f>COLUMN(J12)-COLUMN($J12)+1</f>
        <v>1</v>
      </c>
      <c r="K12" s="102">
        <f t="shared" ref="K12:Q12" si="6">COLUMN(K12)-COLUMN($J12)+1</f>
        <v>2</v>
      </c>
      <c r="L12" s="102">
        <f t="shared" si="6"/>
        <v>3</v>
      </c>
      <c r="M12" s="102">
        <f t="shared" si="6"/>
        <v>4</v>
      </c>
      <c r="N12" s="102">
        <f t="shared" si="6"/>
        <v>5</v>
      </c>
      <c r="O12" s="102">
        <f t="shared" si="6"/>
        <v>6</v>
      </c>
      <c r="P12" s="102">
        <f t="shared" si="6"/>
        <v>7</v>
      </c>
      <c r="Q12" s="102">
        <f t="shared" si="6"/>
        <v>8</v>
      </c>
    </row>
    <row r="13" spans="1:17" hidden="1" outlineLevel="2">
      <c r="B13" s="103" t="s">
        <v>113</v>
      </c>
      <c r="C13" s="97"/>
      <c r="D13" s="97"/>
      <c r="E13" s="97"/>
      <c r="F13" s="97"/>
      <c r="G13" s="97"/>
      <c r="H13" s="97"/>
      <c r="I13" s="97"/>
      <c r="J13" s="104" t="str">
        <f>J10&amp;"-"&amp;J11</f>
        <v xml:space="preserve">2010-Year </v>
      </c>
      <c r="K13" s="104" t="str">
        <f t="shared" ref="K13:Q13" si="7">K10&amp;"-"&amp;K11</f>
        <v xml:space="preserve">2011-Year </v>
      </c>
      <c r="L13" s="104" t="str">
        <f t="shared" si="7"/>
        <v xml:space="preserve">2012-Year </v>
      </c>
      <c r="M13" s="104" t="str">
        <f t="shared" si="7"/>
        <v xml:space="preserve">2013-Year </v>
      </c>
      <c r="N13" s="104" t="str">
        <f t="shared" si="7"/>
        <v xml:space="preserve">2014-Year </v>
      </c>
      <c r="O13" s="104" t="str">
        <f t="shared" si="7"/>
        <v xml:space="preserve">2015-Year </v>
      </c>
      <c r="P13" s="104" t="str">
        <f t="shared" si="7"/>
        <v xml:space="preserve">2016-Year </v>
      </c>
      <c r="Q13" s="104" t="str">
        <f t="shared" si="7"/>
        <v xml:space="preserve">2017-Year </v>
      </c>
    </row>
    <row r="14" spans="1:17" collapsed="1"/>
    <row r="16" spans="1:17" ht="12.75">
      <c r="B16" s="143" t="str">
        <f>"Income Statement - Base Case ("&amp;INDEX(LU_Denom,DD_TS_Denom)&amp;")"</f>
        <v>Income Statement - Base Case ($Millions)</v>
      </c>
    </row>
    <row r="18" spans="3:17">
      <c r="D18" s="6" t="str">
        <f>Fcast_TO!C18</f>
        <v>Revenue</v>
      </c>
      <c r="J18" s="106">
        <f>Fcast_TO!J18</f>
        <v>125</v>
      </c>
      <c r="K18" s="106">
        <f>Fcast_TO!K18</f>
        <v>128.125</v>
      </c>
      <c r="L18" s="106">
        <f>Fcast_TO!L18</f>
        <v>131.328125</v>
      </c>
      <c r="M18" s="106">
        <f>Fcast_TO!M18</f>
        <v>134.611328125</v>
      </c>
      <c r="N18" s="106">
        <f>Fcast_TO!N18</f>
        <v>137.97661132812499</v>
      </c>
      <c r="O18" s="106">
        <f>Fcast_TO!O18</f>
        <v>141.4260266113281</v>
      </c>
      <c r="P18" s="106">
        <f>Fcast_TO!P18</f>
        <v>144.96167727661128</v>
      </c>
      <c r="Q18" s="106">
        <f>Fcast_TO!Q18</f>
        <v>148.58571920852654</v>
      </c>
    </row>
    <row r="19" spans="3:17">
      <c r="D19" s="6" t="str">
        <f>Fcast_TO!C19</f>
        <v>Cost of Goods Sold</v>
      </c>
      <c r="J19" s="106">
        <f>-Fcast_TO!J19</f>
        <v>-25</v>
      </c>
      <c r="K19" s="106">
        <f>-Fcast_TO!K19</f>
        <v>-25.624999999999996</v>
      </c>
      <c r="L19" s="106">
        <f>-Fcast_TO!L19</f>
        <v>-26.265624999999993</v>
      </c>
      <c r="M19" s="106">
        <f>-Fcast_TO!M19</f>
        <v>-26.922265624999991</v>
      </c>
      <c r="N19" s="106">
        <f>-Fcast_TO!N19</f>
        <v>-27.59532226562499</v>
      </c>
      <c r="O19" s="106">
        <f>-Fcast_TO!O19</f>
        <v>-28.285205322265611</v>
      </c>
      <c r="P19" s="106">
        <f>-Fcast_TO!P19</f>
        <v>-28.992335455322248</v>
      </c>
      <c r="Q19" s="106">
        <f>-Fcast_TO!Q19</f>
        <v>-29.717143841705301</v>
      </c>
    </row>
    <row r="20" spans="3:17">
      <c r="J20" s="106"/>
      <c r="K20" s="106"/>
      <c r="L20" s="106"/>
      <c r="M20" s="106"/>
      <c r="N20" s="106"/>
      <c r="O20" s="106"/>
      <c r="P20" s="106"/>
      <c r="Q20" s="106"/>
    </row>
    <row r="21" spans="3:17" ht="11.25">
      <c r="C21" s="127" t="s">
        <v>202</v>
      </c>
      <c r="J21" s="141">
        <f t="shared" ref="J21:Q21" si="8">J18+J19</f>
        <v>100</v>
      </c>
      <c r="K21" s="141">
        <f t="shared" si="8"/>
        <v>102.5</v>
      </c>
      <c r="L21" s="141">
        <f t="shared" si="8"/>
        <v>105.0625</v>
      </c>
      <c r="M21" s="141">
        <f t="shared" si="8"/>
        <v>107.68906250000001</v>
      </c>
      <c r="N21" s="141">
        <f t="shared" si="8"/>
        <v>110.3812890625</v>
      </c>
      <c r="O21" s="141">
        <f t="shared" si="8"/>
        <v>113.14082128906249</v>
      </c>
      <c r="P21" s="141">
        <f t="shared" si="8"/>
        <v>115.96934182128904</v>
      </c>
      <c r="Q21" s="141">
        <f t="shared" si="8"/>
        <v>118.86857536682123</v>
      </c>
    </row>
    <row r="22" spans="3:17">
      <c r="J22" s="106"/>
      <c r="K22" s="106"/>
      <c r="L22" s="106"/>
      <c r="M22" s="106"/>
      <c r="N22" s="106"/>
      <c r="O22" s="106"/>
      <c r="P22" s="106"/>
      <c r="Q22" s="106"/>
    </row>
    <row r="23" spans="3:17">
      <c r="D23" s="6" t="str">
        <f>Fcast_TO!C20</f>
        <v>Operating Expenditure</v>
      </c>
      <c r="J23" s="106">
        <f>-Fcast_TO!J20</f>
        <v>-40</v>
      </c>
      <c r="K23" s="106">
        <f>-Fcast_TO!K20</f>
        <v>-41</v>
      </c>
      <c r="L23" s="106">
        <f>-Fcast_TO!L20</f>
        <v>-42.024999999999999</v>
      </c>
      <c r="M23" s="106">
        <f>-Fcast_TO!M20</f>
        <v>-43.075624999999995</v>
      </c>
      <c r="N23" s="106">
        <f>-Fcast_TO!N20</f>
        <v>-44.152515624999992</v>
      </c>
      <c r="O23" s="106">
        <f>-Fcast_TO!O20</f>
        <v>-45.256328515624986</v>
      </c>
      <c r="P23" s="106">
        <f>-Fcast_TO!P20</f>
        <v>-46.387736728515605</v>
      </c>
      <c r="Q23" s="106">
        <f>-Fcast_TO!Q20</f>
        <v>-47.547430146728495</v>
      </c>
    </row>
    <row r="24" spans="3:17">
      <c r="J24" s="106"/>
      <c r="K24" s="106"/>
      <c r="L24" s="106"/>
      <c r="M24" s="106"/>
      <c r="N24" s="106"/>
      <c r="O24" s="106"/>
      <c r="P24" s="106"/>
      <c r="Q24" s="106"/>
    </row>
    <row r="25" spans="3:17" ht="11.25">
      <c r="C25" s="127" t="s">
        <v>203</v>
      </c>
      <c r="J25" s="141">
        <f>J21+J23</f>
        <v>60</v>
      </c>
      <c r="K25" s="141">
        <f t="shared" ref="K25:Q25" si="9">K21+K23</f>
        <v>61.5</v>
      </c>
      <c r="L25" s="141">
        <f t="shared" si="9"/>
        <v>63.037500000000001</v>
      </c>
      <c r="M25" s="141">
        <f t="shared" si="9"/>
        <v>64.613437500000003</v>
      </c>
      <c r="N25" s="141">
        <f t="shared" si="9"/>
        <v>66.22877343750001</v>
      </c>
      <c r="O25" s="141">
        <f t="shared" si="9"/>
        <v>67.884492773437501</v>
      </c>
      <c r="P25" s="141">
        <f t="shared" si="9"/>
        <v>69.58160509277343</v>
      </c>
      <c r="Q25" s="141">
        <f t="shared" si="9"/>
        <v>71.321145220092745</v>
      </c>
    </row>
    <row r="26" spans="3:17">
      <c r="J26" s="106"/>
      <c r="K26" s="106"/>
      <c r="L26" s="106"/>
      <c r="M26" s="106"/>
      <c r="N26" s="106"/>
      <c r="O26" s="106"/>
      <c r="P26" s="106"/>
      <c r="Q26" s="106"/>
    </row>
    <row r="27" spans="3:17" hidden="1" outlineLevel="2">
      <c r="E27" s="6" t="str">
        <f>Fcast_TO!D71</f>
        <v>Depreciation</v>
      </c>
      <c r="J27" s="106">
        <f>Fcast_TO!J71</f>
        <v>-13.5</v>
      </c>
      <c r="K27" s="106">
        <f>Fcast_TO!K71</f>
        <v>-13.837499999999999</v>
      </c>
      <c r="L27" s="106">
        <f>Fcast_TO!L71</f>
        <v>-14.183437499999997</v>
      </c>
      <c r="M27" s="106">
        <f>Fcast_TO!M71</f>
        <v>-14.538023437499994</v>
      </c>
      <c r="N27" s="106">
        <f>Fcast_TO!N71</f>
        <v>-14.901474023437492</v>
      </c>
      <c r="O27" s="106">
        <f>Fcast_TO!O71</f>
        <v>-15.274010874023428</v>
      </c>
      <c r="P27" s="106">
        <f>Fcast_TO!P71</f>
        <v>-15.655861145874013</v>
      </c>
      <c r="Q27" s="106">
        <f>Fcast_TO!Q71</f>
        <v>-16.047257674520861</v>
      </c>
    </row>
    <row r="28" spans="3:17" hidden="1" outlineLevel="2">
      <c r="E28" s="6" t="str">
        <f>Fcast_TO!D83</f>
        <v>Amortization</v>
      </c>
      <c r="J28" s="144">
        <f>Fcast_TO!J83</f>
        <v>-0.625</v>
      </c>
      <c r="K28" s="144">
        <f>Fcast_TO!K83</f>
        <v>-0.640625</v>
      </c>
      <c r="L28" s="144">
        <f>Fcast_TO!L83</f>
        <v>-0.65664062499999998</v>
      </c>
      <c r="M28" s="144">
        <f>Fcast_TO!M83</f>
        <v>-0.67305664062499992</v>
      </c>
      <c r="N28" s="144">
        <f>Fcast_TO!N83</f>
        <v>-0.68988305664062488</v>
      </c>
      <c r="O28" s="144">
        <f>Fcast_TO!O83</f>
        <v>-0.70713013305664041</v>
      </c>
      <c r="P28" s="144">
        <f>Fcast_TO!P83</f>
        <v>-0.72480838638305634</v>
      </c>
      <c r="Q28" s="144">
        <f>Fcast_TO!Q83</f>
        <v>-0.74292859604263273</v>
      </c>
    </row>
    <row r="29" spans="3:17" collapsed="1">
      <c r="D29" s="5" t="s">
        <v>204</v>
      </c>
      <c r="J29" s="106">
        <f>SUM(J27:J28)</f>
        <v>-14.125</v>
      </c>
      <c r="K29" s="106">
        <f t="shared" ref="K29:Q29" si="10">SUM(K27:K28)</f>
        <v>-14.478124999999999</v>
      </c>
      <c r="L29" s="106">
        <f t="shared" si="10"/>
        <v>-14.840078124999996</v>
      </c>
      <c r="M29" s="106">
        <f t="shared" si="10"/>
        <v>-15.211080078124994</v>
      </c>
      <c r="N29" s="106">
        <f t="shared" si="10"/>
        <v>-15.591357080078117</v>
      </c>
      <c r="O29" s="106">
        <f t="shared" si="10"/>
        <v>-15.981141007080069</v>
      </c>
      <c r="P29" s="106">
        <f t="shared" si="10"/>
        <v>-16.38066953225707</v>
      </c>
      <c r="Q29" s="106">
        <f t="shared" si="10"/>
        <v>-16.790186270563492</v>
      </c>
    </row>
    <row r="30" spans="3:17">
      <c r="J30" s="106"/>
      <c r="K30" s="106"/>
      <c r="L30" s="106"/>
      <c r="M30" s="106"/>
      <c r="N30" s="106"/>
      <c r="O30" s="106"/>
      <c r="P30" s="106"/>
      <c r="Q30" s="106"/>
    </row>
    <row r="31" spans="3:17" ht="11.25">
      <c r="C31" s="127" t="s">
        <v>205</v>
      </c>
      <c r="J31" s="141">
        <f t="shared" ref="J31:Q31" si="11">J25+J29</f>
        <v>45.875</v>
      </c>
      <c r="K31" s="141">
        <f t="shared" si="11"/>
        <v>47.021875000000001</v>
      </c>
      <c r="L31" s="141">
        <f t="shared" si="11"/>
        <v>48.197421875000003</v>
      </c>
      <c r="M31" s="141">
        <f t="shared" si="11"/>
        <v>49.40235742187501</v>
      </c>
      <c r="N31" s="141">
        <f t="shared" si="11"/>
        <v>50.637416357421891</v>
      </c>
      <c r="O31" s="141">
        <f t="shared" si="11"/>
        <v>51.903351766357432</v>
      </c>
      <c r="P31" s="141">
        <f t="shared" si="11"/>
        <v>53.200935560516356</v>
      </c>
      <c r="Q31" s="141">
        <f t="shared" si="11"/>
        <v>54.53095894952925</v>
      </c>
    </row>
    <row r="32" spans="3:17">
      <c r="J32" s="106"/>
      <c r="K32" s="106"/>
      <c r="L32" s="106"/>
      <c r="M32" s="106"/>
      <c r="N32" s="106"/>
      <c r="O32" s="106"/>
      <c r="P32" s="106"/>
      <c r="Q32" s="106"/>
    </row>
    <row r="33" spans="3:17">
      <c r="D33" s="6" t="str">
        <f>Fcast_TO!E116</f>
        <v>Interest Expense</v>
      </c>
      <c r="J33" s="106">
        <f>-Fcast_TO!J116</f>
        <v>-3.25</v>
      </c>
      <c r="K33" s="106">
        <f>-Fcast_TO!K116</f>
        <v>-3.25</v>
      </c>
      <c r="L33" s="106">
        <f>-Fcast_TO!L116</f>
        <v>-3.25</v>
      </c>
      <c r="M33" s="106">
        <f>-Fcast_TO!M116</f>
        <v>-3.25</v>
      </c>
      <c r="N33" s="106">
        <f>-Fcast_TO!N116</f>
        <v>-3.4125000000000001</v>
      </c>
      <c r="O33" s="106">
        <f>-Fcast_TO!O116</f>
        <v>-3.5750000000000002</v>
      </c>
      <c r="P33" s="106">
        <f>-Fcast_TO!P116</f>
        <v>-3.5750000000000002</v>
      </c>
      <c r="Q33" s="106">
        <f>-Fcast_TO!Q116</f>
        <v>-3.5750000000000002</v>
      </c>
    </row>
    <row r="34" spans="3:17">
      <c r="J34" s="106"/>
      <c r="K34" s="106"/>
      <c r="L34" s="106"/>
      <c r="M34" s="106"/>
      <c r="N34" s="106"/>
      <c r="O34" s="106"/>
      <c r="P34" s="106"/>
      <c r="Q34" s="106"/>
    </row>
    <row r="35" spans="3:17" ht="11.25">
      <c r="C35" s="127" t="s">
        <v>206</v>
      </c>
      <c r="J35" s="141">
        <f t="shared" ref="J35:Q35" si="12">J31+J33</f>
        <v>42.625</v>
      </c>
      <c r="K35" s="141">
        <f t="shared" si="12"/>
        <v>43.771875000000001</v>
      </c>
      <c r="L35" s="141">
        <f t="shared" si="12"/>
        <v>44.947421875000003</v>
      </c>
      <c r="M35" s="141">
        <f t="shared" si="12"/>
        <v>46.15235742187501</v>
      </c>
      <c r="N35" s="141">
        <f t="shared" si="12"/>
        <v>47.22491635742189</v>
      </c>
      <c r="O35" s="141">
        <f t="shared" si="12"/>
        <v>48.328351766357429</v>
      </c>
      <c r="P35" s="141">
        <f t="shared" si="12"/>
        <v>49.625935560516353</v>
      </c>
      <c r="Q35" s="141">
        <f t="shared" si="12"/>
        <v>50.955958949529247</v>
      </c>
    </row>
    <row r="36" spans="3:17">
      <c r="J36" s="106"/>
      <c r="K36" s="106"/>
      <c r="L36" s="106"/>
      <c r="M36" s="106"/>
      <c r="N36" s="106"/>
      <c r="O36" s="106"/>
      <c r="P36" s="106"/>
      <c r="Q36" s="106"/>
    </row>
    <row r="37" spans="3:17">
      <c r="D37" s="6" t="str">
        <f>Fcast_TO!D179</f>
        <v>Tax Expense / (Benefit)</v>
      </c>
      <c r="J37" s="106">
        <f>-Fcast_TO!J179</f>
        <v>-12.7875</v>
      </c>
      <c r="K37" s="106">
        <f>-Fcast_TO!K179</f>
        <v>-13.131562499999999</v>
      </c>
      <c r="L37" s="106">
        <f>-Fcast_TO!L179</f>
        <v>-13.4842265625</v>
      </c>
      <c r="M37" s="106">
        <f>-Fcast_TO!M179</f>
        <v>-13.845707226562503</v>
      </c>
      <c r="N37" s="106">
        <f>-Fcast_TO!N179</f>
        <v>-14.167474907226566</v>
      </c>
      <c r="O37" s="106">
        <f>-Fcast_TO!O179</f>
        <v>-14.498505529907227</v>
      </c>
      <c r="P37" s="106">
        <f>-Fcast_TO!P179</f>
        <v>-14.887780668154907</v>
      </c>
      <c r="Q37" s="106">
        <f>-Fcast_TO!Q179</f>
        <v>-15.286787684858773</v>
      </c>
    </row>
    <row r="38" spans="3:17">
      <c r="J38" s="106"/>
      <c r="K38" s="106"/>
      <c r="L38" s="106"/>
      <c r="M38" s="106"/>
      <c r="N38" s="106"/>
      <c r="O38" s="106"/>
      <c r="P38" s="106"/>
      <c r="Q38" s="106"/>
    </row>
    <row r="39" spans="3:17" ht="12.75" thickBot="1">
      <c r="C39" s="145" t="s">
        <v>207</v>
      </c>
      <c r="J39" s="142">
        <f t="shared" ref="J39:Q39" si="13">J35+J37</f>
        <v>29.837499999999999</v>
      </c>
      <c r="K39" s="142">
        <f t="shared" si="13"/>
        <v>30.6403125</v>
      </c>
      <c r="L39" s="142">
        <f t="shared" si="13"/>
        <v>31.463195312500005</v>
      </c>
      <c r="M39" s="142">
        <f t="shared" si="13"/>
        <v>32.306650195312507</v>
      </c>
      <c r="N39" s="142">
        <f t="shared" si="13"/>
        <v>33.057441450195327</v>
      </c>
      <c r="O39" s="142">
        <f t="shared" si="13"/>
        <v>33.829846236450202</v>
      </c>
      <c r="P39" s="142">
        <f t="shared" si="13"/>
        <v>34.73815489236145</v>
      </c>
      <c r="Q39" s="142">
        <f t="shared" si="13"/>
        <v>35.669171264670474</v>
      </c>
    </row>
    <row r="40" spans="3:17" ht="11.25" thickTop="1"/>
    <row r="41" spans="3:17" ht="11.25">
      <c r="C41" s="146" t="s">
        <v>208</v>
      </c>
      <c r="I41" s="123">
        <f>IF(ISERROR(SUM(J41:Q41)),0,MIN(SUM(J41:Q41),1))</f>
        <v>0</v>
      </c>
      <c r="J41" s="120">
        <f t="shared" ref="J41:Q41" si="14">IF(ISERROR(J39),1,0)</f>
        <v>0</v>
      </c>
      <c r="K41" s="120">
        <f t="shared" si="14"/>
        <v>0</v>
      </c>
      <c r="L41" s="120">
        <f t="shared" si="14"/>
        <v>0</v>
      </c>
      <c r="M41" s="120">
        <f t="shared" si="14"/>
        <v>0</v>
      </c>
      <c r="N41" s="120">
        <f t="shared" si="14"/>
        <v>0</v>
      </c>
      <c r="O41" s="120">
        <f t="shared" si="14"/>
        <v>0</v>
      </c>
      <c r="P41" s="120">
        <f t="shared" si="14"/>
        <v>0</v>
      </c>
      <c r="Q41" s="120">
        <f t="shared" si="14"/>
        <v>0</v>
      </c>
    </row>
    <row r="43" spans="3:17">
      <c r="C43" s="134" t="s">
        <v>32</v>
      </c>
    </row>
    <row r="44" spans="3:17">
      <c r="C44" s="109">
        <v>1</v>
      </c>
      <c r="D44" s="5" t="s">
        <v>209</v>
      </c>
    </row>
    <row r="46" spans="3:17">
      <c r="C46" s="8" t="str">
        <f>"Go to "&amp;BS_TO!$B$1</f>
        <v>Go to Balance Sheet</v>
      </c>
      <c r="D46" s="147"/>
      <c r="E46" s="147"/>
      <c r="F46" s="147"/>
      <c r="G46" s="147"/>
      <c r="H46" s="147"/>
      <c r="I46" s="147"/>
    </row>
  </sheetData>
  <mergeCells count="1">
    <mergeCell ref="B3:F3"/>
  </mergeCells>
  <conditionalFormatting sqref="C41">
    <cfRule type="expression" dxfId="41" priority="2" stopIfTrue="1">
      <formula>I41&lt;&gt;0</formula>
    </cfRule>
  </conditionalFormatting>
  <conditionalFormatting sqref="I41:Q41">
    <cfRule type="cellIs" dxfId="40" priority="1" stopIfTrue="1" operator="notEqual">
      <formula>0</formula>
    </cfRule>
  </conditionalFormatting>
  <hyperlinks>
    <hyperlink ref="C46:I46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36" tooltip="Go to Next Sheet" display="HL_Sheet_Main_3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76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210</v>
      </c>
    </row>
    <row r="2" spans="1:17" ht="15">
      <c r="B2" s="7" t="str">
        <f>Model_Name</f>
        <v>SMA 13. Multiple Workbooks - Best Practice Model Example 1</v>
      </c>
    </row>
    <row r="3" spans="1:17">
      <c r="B3" s="241" t="s">
        <v>1</v>
      </c>
      <c r="C3" s="241"/>
      <c r="D3" s="241"/>
      <c r="E3" s="241"/>
      <c r="F3" s="241"/>
    </row>
    <row r="4" spans="1:17" ht="12.75">
      <c r="A4" s="91" t="s">
        <v>10</v>
      </c>
      <c r="B4" s="13" t="s">
        <v>26</v>
      </c>
      <c r="C4" s="14" t="s">
        <v>27</v>
      </c>
      <c r="D4" s="92" t="s">
        <v>38</v>
      </c>
      <c r="E4" s="92" t="s">
        <v>39</v>
      </c>
      <c r="F4" s="93" t="s">
        <v>40</v>
      </c>
    </row>
    <row r="6" spans="1:17">
      <c r="B6" s="94" t="str">
        <f>IF(TS_Pers_In_Yr=1,"",TS_Per_Type_Name&amp;" Ending")</f>
        <v/>
      </c>
      <c r="J6" s="95" t="str">
        <f t="shared" ref="J6:Q6" si="0">IF(TS_Pers_In_Yr=1,"",LEFT(INDEX(LU_Mth_Names,MONTH(J9)),3)&amp;"-"&amp;RIGHT(YEAR(J9),2))&amp;" "</f>
        <v xml:space="preserve"> </v>
      </c>
      <c r="K6" s="95" t="str">
        <f t="shared" si="0"/>
        <v xml:space="preserve"> </v>
      </c>
      <c r="L6" s="95" t="str">
        <f t="shared" si="0"/>
        <v xml:space="preserve"> </v>
      </c>
      <c r="M6" s="95" t="str">
        <f t="shared" si="0"/>
        <v xml:space="preserve"> </v>
      </c>
      <c r="N6" s="95" t="str">
        <f t="shared" si="0"/>
        <v xml:space="preserve"> </v>
      </c>
      <c r="O6" s="95" t="str">
        <f t="shared" si="0"/>
        <v xml:space="preserve"> </v>
      </c>
      <c r="P6" s="95" t="str">
        <f t="shared" si="0"/>
        <v xml:space="preserve"> </v>
      </c>
      <c r="Q6" s="95" t="str">
        <f t="shared" si="0"/>
        <v xml:space="preserve"> </v>
      </c>
    </row>
    <row r="7" spans="1:17">
      <c r="B7" s="96" t="str">
        <f>IF(TS_Pers_In_Yr=1,Yr_Name&amp;" Ending "&amp;DAY(TS_Per_1_End_Date)&amp;" "&amp;INDEX(LU_Mth_Names,DD_TS_Fin_YE_Mth),TS_Per_Type_Name)</f>
        <v>Year Ending 31 December</v>
      </c>
      <c r="C7" s="97"/>
      <c r="D7" s="97"/>
      <c r="E7" s="97"/>
      <c r="F7" s="97"/>
      <c r="G7" s="97"/>
      <c r="H7" s="97"/>
      <c r="I7" s="97"/>
      <c r="J7" s="98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98" t="str">
        <f t="shared" si="1"/>
        <v xml:space="preserve">2011 (F) </v>
      </c>
      <c r="L7" s="98" t="str">
        <f t="shared" si="1"/>
        <v xml:space="preserve">2012 (F) </v>
      </c>
      <c r="M7" s="98" t="str">
        <f t="shared" si="1"/>
        <v xml:space="preserve">2013 (F) </v>
      </c>
      <c r="N7" s="98" t="str">
        <f t="shared" si="1"/>
        <v xml:space="preserve">2014 (F) </v>
      </c>
      <c r="O7" s="98" t="str">
        <f t="shared" si="1"/>
        <v xml:space="preserve">2015 (F) </v>
      </c>
      <c r="P7" s="98" t="str">
        <f t="shared" si="1"/>
        <v xml:space="preserve">2016 (F) </v>
      </c>
      <c r="Q7" s="98" t="str">
        <f t="shared" si="1"/>
        <v xml:space="preserve">2017 (F) </v>
      </c>
    </row>
    <row r="8" spans="1:17" hidden="1" outlineLevel="2">
      <c r="B8" s="15" t="s">
        <v>108</v>
      </c>
      <c r="J8" s="99">
        <f t="shared" ref="J8:Q8" si="2">IF(J12=1,TS_Start_Date,I9+1)</f>
        <v>40179</v>
      </c>
      <c r="K8" s="99">
        <f t="shared" si="2"/>
        <v>40544</v>
      </c>
      <c r="L8" s="99">
        <f t="shared" si="2"/>
        <v>40909</v>
      </c>
      <c r="M8" s="99">
        <f t="shared" si="2"/>
        <v>41275</v>
      </c>
      <c r="N8" s="99">
        <f t="shared" si="2"/>
        <v>41640</v>
      </c>
      <c r="O8" s="99">
        <f t="shared" si="2"/>
        <v>42005</v>
      </c>
      <c r="P8" s="99">
        <f t="shared" si="2"/>
        <v>42370</v>
      </c>
      <c r="Q8" s="99">
        <f t="shared" si="2"/>
        <v>42736</v>
      </c>
    </row>
    <row r="9" spans="1:17" hidden="1" outlineLevel="2">
      <c r="B9" s="15" t="s">
        <v>109</v>
      </c>
      <c r="J9" s="9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99">
        <f t="shared" si="3"/>
        <v>40908</v>
      </c>
      <c r="L9" s="99">
        <f t="shared" si="3"/>
        <v>41274</v>
      </c>
      <c r="M9" s="99">
        <f t="shared" si="3"/>
        <v>41639</v>
      </c>
      <c r="N9" s="99">
        <f t="shared" si="3"/>
        <v>42004</v>
      </c>
      <c r="O9" s="99">
        <f t="shared" si="3"/>
        <v>42369</v>
      </c>
      <c r="P9" s="99">
        <f t="shared" si="3"/>
        <v>42735</v>
      </c>
      <c r="Q9" s="99">
        <f t="shared" si="3"/>
        <v>43100</v>
      </c>
    </row>
    <row r="10" spans="1:17" hidden="1" outlineLevel="2">
      <c r="B10" s="15" t="s">
        <v>110</v>
      </c>
      <c r="J10" s="100">
        <f t="shared" ref="J10:Q10" si="4">YEAR(TS_Per_1_FY_End_Date)+INT((TS_Per_1_Number+J12-2)/TS_Pers_In_Yr)</f>
        <v>2010</v>
      </c>
      <c r="K10" s="100">
        <f t="shared" si="4"/>
        <v>2011</v>
      </c>
      <c r="L10" s="100">
        <f t="shared" si="4"/>
        <v>2012</v>
      </c>
      <c r="M10" s="100">
        <f t="shared" si="4"/>
        <v>2013</v>
      </c>
      <c r="N10" s="100">
        <f t="shared" si="4"/>
        <v>2014</v>
      </c>
      <c r="O10" s="100">
        <f t="shared" si="4"/>
        <v>2015</v>
      </c>
      <c r="P10" s="100">
        <f t="shared" si="4"/>
        <v>2016</v>
      </c>
      <c r="Q10" s="100">
        <f t="shared" si="4"/>
        <v>2017</v>
      </c>
    </row>
    <row r="11" spans="1:17" hidden="1" outlineLevel="2">
      <c r="B11" s="15" t="s">
        <v>111</v>
      </c>
      <c r="J11" s="10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1" t="str">
        <f t="shared" si="5"/>
        <v xml:space="preserve">Year </v>
      </c>
      <c r="L11" s="101" t="str">
        <f t="shared" si="5"/>
        <v xml:space="preserve">Year </v>
      </c>
      <c r="M11" s="101" t="str">
        <f t="shared" si="5"/>
        <v xml:space="preserve">Year </v>
      </c>
      <c r="N11" s="101" t="str">
        <f t="shared" si="5"/>
        <v xml:space="preserve">Year </v>
      </c>
      <c r="O11" s="101" t="str">
        <f t="shared" si="5"/>
        <v xml:space="preserve">Year </v>
      </c>
      <c r="P11" s="101" t="str">
        <f t="shared" si="5"/>
        <v xml:space="preserve">Year </v>
      </c>
      <c r="Q11" s="101" t="str">
        <f t="shared" si="5"/>
        <v xml:space="preserve">Year </v>
      </c>
    </row>
    <row r="12" spans="1:17" hidden="1" outlineLevel="2">
      <c r="B12" s="15" t="s">
        <v>112</v>
      </c>
      <c r="J12" s="102">
        <f>COLUMN(J12)-COLUMN($J12)+1</f>
        <v>1</v>
      </c>
      <c r="K12" s="102">
        <f t="shared" ref="K12:Q12" si="6">COLUMN(K12)-COLUMN($J12)+1</f>
        <v>2</v>
      </c>
      <c r="L12" s="102">
        <f t="shared" si="6"/>
        <v>3</v>
      </c>
      <c r="M12" s="102">
        <f t="shared" si="6"/>
        <v>4</v>
      </c>
      <c r="N12" s="102">
        <f t="shared" si="6"/>
        <v>5</v>
      </c>
      <c r="O12" s="102">
        <f t="shared" si="6"/>
        <v>6</v>
      </c>
      <c r="P12" s="102">
        <f t="shared" si="6"/>
        <v>7</v>
      </c>
      <c r="Q12" s="102">
        <f t="shared" si="6"/>
        <v>8</v>
      </c>
    </row>
    <row r="13" spans="1:17" hidden="1" outlineLevel="2">
      <c r="B13" s="103" t="s">
        <v>113</v>
      </c>
      <c r="C13" s="97"/>
      <c r="D13" s="97"/>
      <c r="E13" s="97"/>
      <c r="F13" s="97"/>
      <c r="G13" s="97"/>
      <c r="H13" s="97"/>
      <c r="I13" s="97"/>
      <c r="J13" s="104" t="str">
        <f>J10&amp;"-"&amp;J11</f>
        <v xml:space="preserve">2010-Year </v>
      </c>
      <c r="K13" s="104" t="str">
        <f t="shared" ref="K13:Q13" si="7">K10&amp;"-"&amp;K11</f>
        <v xml:space="preserve">2011-Year </v>
      </c>
      <c r="L13" s="104" t="str">
        <f t="shared" si="7"/>
        <v xml:space="preserve">2012-Year </v>
      </c>
      <c r="M13" s="104" t="str">
        <f t="shared" si="7"/>
        <v xml:space="preserve">2013-Year </v>
      </c>
      <c r="N13" s="104" t="str">
        <f t="shared" si="7"/>
        <v xml:space="preserve">2014-Year </v>
      </c>
      <c r="O13" s="104" t="str">
        <f t="shared" si="7"/>
        <v xml:space="preserve">2015-Year </v>
      </c>
      <c r="P13" s="104" t="str">
        <f t="shared" si="7"/>
        <v xml:space="preserve">2016-Year </v>
      </c>
      <c r="Q13" s="104" t="str">
        <f t="shared" si="7"/>
        <v xml:space="preserve">2017-Year </v>
      </c>
    </row>
    <row r="14" spans="1:17" collapsed="1"/>
    <row r="16" spans="1:17" ht="12.75">
      <c r="B16" s="143" t="str">
        <f>"Balance Sheet - Base Case ("&amp;INDEX(LU_Denom,DD_TS_Denom)&amp;")"</f>
        <v>Balance Sheet - Base Case ($Millions)</v>
      </c>
    </row>
    <row r="18" spans="3:17" ht="11.25">
      <c r="C18" s="127" t="s">
        <v>211</v>
      </c>
    </row>
    <row r="20" spans="3:17" hidden="1" outlineLevel="2">
      <c r="E20" s="5" t="s">
        <v>212</v>
      </c>
      <c r="J20" s="106">
        <f>IF(J$12=1,Fcast_TA!$J$85,I22)</f>
        <v>15</v>
      </c>
      <c r="K20" s="106">
        <f>IF(K$12=1,Fcast_TA!$J$85,J22)</f>
        <v>38.570976027397265</v>
      </c>
      <c r="L20" s="106">
        <f>IF(L$12=1,Fcast_TA!$J$85,K22)</f>
        <v>50.719312928082175</v>
      </c>
      <c r="M20" s="106">
        <f>IF(M$12=1,Fcast_TA!$J$85,L22)</f>
        <v>63.206284003586049</v>
      </c>
      <c r="N20" s="106">
        <f>IF(N$12=1,Fcast_TA!$J$85,M22)</f>
        <v>76.020728145066357</v>
      </c>
      <c r="O20" s="106">
        <f>IF(O$12=1,Fcast_TA!$J$85,N22)</f>
        <v>94.084996348693011</v>
      </c>
      <c r="P20" s="106">
        <f>IF(P$12=1,Fcast_TA!$J$85,O22)</f>
        <v>107.45007438241035</v>
      </c>
      <c r="Q20" s="106">
        <f>IF(Q$12=1,Fcast_TA!$J$85,P22)</f>
        <v>121.237691183499</v>
      </c>
    </row>
    <row r="21" spans="3:17" hidden="1" outlineLevel="2">
      <c r="E21" s="5" t="s">
        <v>213</v>
      </c>
      <c r="J21" s="144">
        <f>CFS_TO!J50</f>
        <v>23.570976027397268</v>
      </c>
      <c r="K21" s="144">
        <f>CFS_TO!K50</f>
        <v>12.148336900684914</v>
      </c>
      <c r="L21" s="144">
        <f>CFS_TO!L50</f>
        <v>12.486971075503874</v>
      </c>
      <c r="M21" s="144">
        <f>CFS_TO!M50</f>
        <v>12.814444141480315</v>
      </c>
      <c r="N21" s="144">
        <f>CFS_TO!N50</f>
        <v>18.064268203626661</v>
      </c>
      <c r="O21" s="144">
        <f>CFS_TO!O50</f>
        <v>13.365078033717339</v>
      </c>
      <c r="P21" s="144">
        <f>CFS_TO!P50</f>
        <v>13.787616801088642</v>
      </c>
      <c r="Q21" s="144">
        <f>CFS_TO!Q50</f>
        <v>14.149085792645895</v>
      </c>
    </row>
    <row r="22" spans="3:17" collapsed="1">
      <c r="D22" s="5" t="s">
        <v>214</v>
      </c>
      <c r="J22" s="106">
        <f t="shared" ref="J22:Q22" si="8">SUM(J20:J21)</f>
        <v>38.570976027397265</v>
      </c>
      <c r="K22" s="106">
        <f t="shared" si="8"/>
        <v>50.719312928082175</v>
      </c>
      <c r="L22" s="106">
        <f t="shared" si="8"/>
        <v>63.206284003586049</v>
      </c>
      <c r="M22" s="106">
        <f t="shared" si="8"/>
        <v>76.020728145066357</v>
      </c>
      <c r="N22" s="106">
        <f t="shared" si="8"/>
        <v>94.084996348693011</v>
      </c>
      <c r="O22" s="106">
        <f t="shared" si="8"/>
        <v>107.45007438241035</v>
      </c>
      <c r="P22" s="106">
        <f t="shared" si="8"/>
        <v>121.237691183499</v>
      </c>
      <c r="Q22" s="106">
        <f t="shared" si="8"/>
        <v>135.38677697614489</v>
      </c>
    </row>
    <row r="23" spans="3:17">
      <c r="D23" s="5" t="s">
        <v>215</v>
      </c>
      <c r="J23" s="106">
        <f>Fcast_TO!J37</f>
        <v>10.273972602739725</v>
      </c>
      <c r="K23" s="106">
        <f>Fcast_TO!K37</f>
        <v>10.530821917808218</v>
      </c>
      <c r="L23" s="106">
        <f>Fcast_TO!L37</f>
        <v>10.764600409836065</v>
      </c>
      <c r="M23" s="106">
        <f>Fcast_TO!M37</f>
        <v>11.063944777397261</v>
      </c>
      <c r="N23" s="106">
        <f>Fcast_TO!N37</f>
        <v>11.340543396832192</v>
      </c>
      <c r="O23" s="106">
        <f>Fcast_TO!O37</f>
        <v>11.624056981752995</v>
      </c>
      <c r="P23" s="106">
        <f>Fcast_TO!P37</f>
        <v>11.882104694804204</v>
      </c>
      <c r="Q23" s="106">
        <f>Fcast_TO!Q37</f>
        <v>12.212524866454237</v>
      </c>
    </row>
    <row r="24" spans="3:17">
      <c r="D24" s="6" t="str">
        <f>Fcast_TA!D89</f>
        <v>Other Current Assets</v>
      </c>
      <c r="J24" s="106">
        <f>Fcast_TO!J195</f>
        <v>3</v>
      </c>
      <c r="K24" s="106">
        <f>Fcast_TO!K195</f>
        <v>4</v>
      </c>
      <c r="L24" s="106">
        <f>Fcast_TO!L195</f>
        <v>5</v>
      </c>
      <c r="M24" s="106">
        <f>Fcast_TO!M195</f>
        <v>6</v>
      </c>
      <c r="N24" s="106">
        <f>Fcast_TO!N195</f>
        <v>7</v>
      </c>
      <c r="O24" s="106">
        <f>Fcast_TO!O195</f>
        <v>8</v>
      </c>
      <c r="P24" s="106">
        <f>Fcast_TO!P195</f>
        <v>9</v>
      </c>
      <c r="Q24" s="106">
        <f>Fcast_TO!Q195</f>
        <v>10</v>
      </c>
    </row>
    <row r="25" spans="3:17">
      <c r="D25" s="148" t="str">
        <f>"Total "&amp;C18</f>
        <v>Total Current Assets</v>
      </c>
      <c r="J25" s="119">
        <f>J22+SUM(J23:J24)</f>
        <v>51.84494863013699</v>
      </c>
      <c r="K25" s="119">
        <f t="shared" ref="K25:Q25" si="9">K22+SUM(K23:K24)</f>
        <v>65.250134845890386</v>
      </c>
      <c r="L25" s="119">
        <f t="shared" si="9"/>
        <v>78.970884413422112</v>
      </c>
      <c r="M25" s="119">
        <f t="shared" si="9"/>
        <v>93.084672922463625</v>
      </c>
      <c r="N25" s="119">
        <f t="shared" si="9"/>
        <v>112.4255397455252</v>
      </c>
      <c r="O25" s="119">
        <f t="shared" si="9"/>
        <v>127.07413136416335</v>
      </c>
      <c r="P25" s="119">
        <f t="shared" si="9"/>
        <v>142.11979587830319</v>
      </c>
      <c r="Q25" s="119">
        <f t="shared" si="9"/>
        <v>157.59930184259912</v>
      </c>
    </row>
    <row r="26" spans="3:17">
      <c r="J26" s="106"/>
      <c r="K26" s="106"/>
      <c r="L26" s="106"/>
      <c r="M26" s="106"/>
      <c r="N26" s="106"/>
      <c r="O26" s="106"/>
      <c r="P26" s="106"/>
      <c r="Q26" s="106"/>
    </row>
    <row r="27" spans="3:17" ht="11.25">
      <c r="C27" s="127" t="s">
        <v>216</v>
      </c>
      <c r="J27" s="106"/>
      <c r="K27" s="106"/>
      <c r="L27" s="106"/>
      <c r="M27" s="106"/>
      <c r="N27" s="106"/>
      <c r="O27" s="106"/>
      <c r="P27" s="106"/>
      <c r="Q27" s="106"/>
    </row>
    <row r="28" spans="3:17">
      <c r="J28" s="106"/>
      <c r="K28" s="106"/>
      <c r="L28" s="106"/>
      <c r="M28" s="106"/>
      <c r="N28" s="106"/>
      <c r="O28" s="106"/>
      <c r="P28" s="106"/>
      <c r="Q28" s="106"/>
    </row>
    <row r="29" spans="3:17">
      <c r="D29" s="5" t="s">
        <v>49</v>
      </c>
      <c r="J29" s="106">
        <f>Fcast_TO!J72</f>
        <v>146.5</v>
      </c>
      <c r="K29" s="106">
        <f>Fcast_TO!K72</f>
        <v>148.03749999999999</v>
      </c>
      <c r="L29" s="106">
        <f>Fcast_TO!L72</f>
        <v>149.6134375</v>
      </c>
      <c r="M29" s="106">
        <f>Fcast_TO!M72</f>
        <v>151.22877343750002</v>
      </c>
      <c r="N29" s="106">
        <f>Fcast_TO!N72</f>
        <v>152.88449277343753</v>
      </c>
      <c r="O29" s="106">
        <f>Fcast_TO!O72</f>
        <v>154.58160509277349</v>
      </c>
      <c r="P29" s="106">
        <f>Fcast_TO!P72</f>
        <v>156.32114522009283</v>
      </c>
      <c r="Q29" s="106">
        <f>Fcast_TO!Q72</f>
        <v>158.10417385059515</v>
      </c>
    </row>
    <row r="30" spans="3:17">
      <c r="D30" s="5" t="s">
        <v>217</v>
      </c>
      <c r="J30" s="106">
        <f>Fcast_TO!J84</f>
        <v>13.375</v>
      </c>
      <c r="K30" s="106">
        <f>Fcast_TO!K84</f>
        <v>15.296875</v>
      </c>
      <c r="L30" s="106">
        <f>Fcast_TO!L84</f>
        <v>17.266796874999997</v>
      </c>
      <c r="M30" s="106">
        <f>Fcast_TO!M84</f>
        <v>19.285966796874998</v>
      </c>
      <c r="N30" s="106">
        <f>Fcast_TO!N84</f>
        <v>21.355615966796872</v>
      </c>
      <c r="O30" s="106">
        <f>Fcast_TO!O84</f>
        <v>23.477006365966794</v>
      </c>
      <c r="P30" s="106">
        <f>Fcast_TO!P84</f>
        <v>25.651431525115964</v>
      </c>
      <c r="Q30" s="106">
        <f>Fcast_TO!Q84</f>
        <v>27.880217313243865</v>
      </c>
    </row>
    <row r="31" spans="3:17">
      <c r="D31" s="5" t="s">
        <v>218</v>
      </c>
      <c r="J31" s="149">
        <v>0</v>
      </c>
      <c r="K31" s="149">
        <v>0</v>
      </c>
      <c r="L31" s="149">
        <v>0</v>
      </c>
      <c r="M31" s="149">
        <v>0</v>
      </c>
      <c r="N31" s="149">
        <v>0</v>
      </c>
      <c r="O31" s="149">
        <v>0</v>
      </c>
      <c r="P31" s="149">
        <v>0</v>
      </c>
      <c r="Q31" s="149">
        <v>0</v>
      </c>
    </row>
    <row r="32" spans="3:17">
      <c r="D32" s="6" t="str">
        <f>Fcast_TA!D91</f>
        <v>Other Non-Current Assets</v>
      </c>
      <c r="J32" s="106">
        <f>Fcast_TO!J207</f>
        <v>5</v>
      </c>
      <c r="K32" s="106">
        <f>Fcast_TO!K207</f>
        <v>6</v>
      </c>
      <c r="L32" s="106">
        <f>Fcast_TO!L207</f>
        <v>7</v>
      </c>
      <c r="M32" s="106">
        <f>Fcast_TO!M207</f>
        <v>8</v>
      </c>
      <c r="N32" s="106">
        <f>Fcast_TO!N207</f>
        <v>9</v>
      </c>
      <c r="O32" s="106">
        <f>Fcast_TO!O207</f>
        <v>10</v>
      </c>
      <c r="P32" s="106">
        <f>Fcast_TO!P207</f>
        <v>11</v>
      </c>
      <c r="Q32" s="106">
        <f>Fcast_TO!Q207</f>
        <v>12</v>
      </c>
    </row>
    <row r="33" spans="3:17">
      <c r="D33" s="148" t="str">
        <f>"Total "&amp;C27</f>
        <v>Total Non-Current Assets</v>
      </c>
      <c r="J33" s="119">
        <f>SUM(J29:J32)</f>
        <v>164.875</v>
      </c>
      <c r="K33" s="119">
        <f t="shared" ref="K33:Q33" si="10">SUM(K29:K32)</f>
        <v>169.33437499999999</v>
      </c>
      <c r="L33" s="119">
        <f t="shared" si="10"/>
        <v>173.88023437499999</v>
      </c>
      <c r="M33" s="119">
        <f t="shared" si="10"/>
        <v>178.51474023437501</v>
      </c>
      <c r="N33" s="119">
        <f t="shared" si="10"/>
        <v>183.2401087402344</v>
      </c>
      <c r="O33" s="119">
        <f t="shared" si="10"/>
        <v>188.05861145874027</v>
      </c>
      <c r="P33" s="119">
        <f t="shared" si="10"/>
        <v>192.97257674520878</v>
      </c>
      <c r="Q33" s="119">
        <f t="shared" si="10"/>
        <v>197.98439116383901</v>
      </c>
    </row>
    <row r="34" spans="3:17">
      <c r="J34" s="106"/>
      <c r="K34" s="106"/>
      <c r="L34" s="106"/>
      <c r="M34" s="106"/>
      <c r="N34" s="106"/>
      <c r="O34" s="106"/>
      <c r="P34" s="106"/>
      <c r="Q34" s="106"/>
    </row>
    <row r="35" spans="3:17" ht="11.25">
      <c r="C35" s="127" t="s">
        <v>219</v>
      </c>
      <c r="J35" s="141">
        <f t="shared" ref="J35:Q35" si="11">J25+J33</f>
        <v>216.719948630137</v>
      </c>
      <c r="K35" s="141">
        <f t="shared" si="11"/>
        <v>234.58450984589038</v>
      </c>
      <c r="L35" s="141">
        <f t="shared" si="11"/>
        <v>252.8511187884221</v>
      </c>
      <c r="M35" s="141">
        <f t="shared" si="11"/>
        <v>271.59941315683864</v>
      </c>
      <c r="N35" s="141">
        <f t="shared" si="11"/>
        <v>295.66564848575962</v>
      </c>
      <c r="O35" s="141">
        <f t="shared" si="11"/>
        <v>315.13274282290365</v>
      </c>
      <c r="P35" s="141">
        <f t="shared" si="11"/>
        <v>335.09237262351201</v>
      </c>
      <c r="Q35" s="141">
        <f t="shared" si="11"/>
        <v>355.58369300643812</v>
      </c>
    </row>
    <row r="36" spans="3:17">
      <c r="J36" s="106"/>
      <c r="K36" s="106"/>
      <c r="L36" s="106"/>
      <c r="M36" s="106"/>
      <c r="N36" s="106"/>
      <c r="O36" s="106"/>
      <c r="P36" s="106"/>
      <c r="Q36" s="106"/>
    </row>
    <row r="37" spans="3:17" ht="11.25">
      <c r="C37" s="127" t="s">
        <v>220</v>
      </c>
      <c r="J37" s="106"/>
      <c r="K37" s="106"/>
      <c r="L37" s="106"/>
      <c r="M37" s="106"/>
      <c r="N37" s="106"/>
      <c r="O37" s="106"/>
      <c r="P37" s="106"/>
      <c r="Q37" s="106"/>
    </row>
    <row r="38" spans="3:17">
      <c r="J38" s="106"/>
      <c r="K38" s="106"/>
      <c r="L38" s="106"/>
      <c r="M38" s="106"/>
      <c r="N38" s="106"/>
      <c r="O38" s="106"/>
      <c r="P38" s="106"/>
      <c r="Q38" s="106"/>
    </row>
    <row r="39" spans="3:17">
      <c r="D39" s="5" t="s">
        <v>221</v>
      </c>
      <c r="J39" s="106">
        <f>Fcast_TO!J51</f>
        <v>8.0136986301369859</v>
      </c>
      <c r="K39" s="106">
        <f>Fcast_TO!K51</f>
        <v>8.2140410958904102</v>
      </c>
      <c r="L39" s="106">
        <f>Fcast_TO!L51</f>
        <v>8.3963883196721305</v>
      </c>
      <c r="M39" s="106">
        <f>Fcast_TO!M51</f>
        <v>8.629876926369862</v>
      </c>
      <c r="N39" s="106">
        <f>Fcast_TO!N51</f>
        <v>8.8456238495291082</v>
      </c>
      <c r="O39" s="106">
        <f>Fcast_TO!O51</f>
        <v>9.0667644457673351</v>
      </c>
      <c r="P39" s="106">
        <f>Fcast_TO!P51</f>
        <v>9.2680416619472759</v>
      </c>
      <c r="Q39" s="106">
        <f>Fcast_TO!Q51</f>
        <v>9.5257693958343044</v>
      </c>
    </row>
    <row r="40" spans="3:17">
      <c r="D40" s="5" t="s">
        <v>222</v>
      </c>
      <c r="J40" s="106">
        <f>Fcast_TO!J186</f>
        <v>12.787500000000001</v>
      </c>
      <c r="K40" s="106">
        <f>Fcast_TO!K186</f>
        <v>13.131562500000003</v>
      </c>
      <c r="L40" s="106">
        <f>Fcast_TO!L186</f>
        <v>13.484226562500004</v>
      </c>
      <c r="M40" s="106">
        <f>Fcast_TO!M186</f>
        <v>13.845707226562508</v>
      </c>
      <c r="N40" s="106">
        <f>Fcast_TO!N186</f>
        <v>14.16747490722657</v>
      </c>
      <c r="O40" s="106">
        <f>Fcast_TO!O186</f>
        <v>14.498505529907231</v>
      </c>
      <c r="P40" s="106">
        <f>Fcast_TO!P186</f>
        <v>14.88778066815491</v>
      </c>
      <c r="Q40" s="106">
        <f>Fcast_TO!Q186</f>
        <v>15.286787684858776</v>
      </c>
    </row>
    <row r="41" spans="3:17">
      <c r="D41" s="5" t="s">
        <v>223</v>
      </c>
      <c r="J41" s="106">
        <f>Fcast_TO!J121</f>
        <v>0</v>
      </c>
      <c r="K41" s="106">
        <f>Fcast_TO!K121</f>
        <v>0</v>
      </c>
      <c r="L41" s="106">
        <f>Fcast_TO!L121</f>
        <v>0</v>
      </c>
      <c r="M41" s="106">
        <f>Fcast_TO!M121</f>
        <v>0</v>
      </c>
      <c r="N41" s="106">
        <f>Fcast_TO!N121</f>
        <v>0</v>
      </c>
      <c r="O41" s="106">
        <f>Fcast_TO!O121</f>
        <v>0</v>
      </c>
      <c r="P41" s="106">
        <f>Fcast_TO!P121</f>
        <v>0</v>
      </c>
      <c r="Q41" s="106">
        <f>Fcast_TO!Q121</f>
        <v>0</v>
      </c>
    </row>
    <row r="42" spans="3:17">
      <c r="D42" s="5" t="s">
        <v>224</v>
      </c>
      <c r="J42" s="106">
        <f>Fcast_TO!J137</f>
        <v>0</v>
      </c>
      <c r="K42" s="106">
        <f>Fcast_TO!K137</f>
        <v>0</v>
      </c>
      <c r="L42" s="106">
        <f>Fcast_TO!L137</f>
        <v>0</v>
      </c>
      <c r="M42" s="106">
        <f>Fcast_TO!M137</f>
        <v>0</v>
      </c>
      <c r="N42" s="106">
        <f>Fcast_TO!N137</f>
        <v>0</v>
      </c>
      <c r="O42" s="106">
        <f>Fcast_TO!O137</f>
        <v>0</v>
      </c>
      <c r="P42" s="106">
        <f>Fcast_TO!P137</f>
        <v>0</v>
      </c>
      <c r="Q42" s="106">
        <f>Fcast_TO!Q137</f>
        <v>0</v>
      </c>
    </row>
    <row r="43" spans="3:17">
      <c r="D43" s="6" t="str">
        <f>Fcast_TA!D90</f>
        <v>Other Current Liabilities</v>
      </c>
      <c r="J43" s="106">
        <f>Fcast_TO!J201</f>
        <v>4</v>
      </c>
      <c r="K43" s="106">
        <f>Fcast_TO!K201</f>
        <v>5</v>
      </c>
      <c r="L43" s="106">
        <f>Fcast_TO!L201</f>
        <v>6</v>
      </c>
      <c r="M43" s="106">
        <f>Fcast_TO!M201</f>
        <v>7</v>
      </c>
      <c r="N43" s="106">
        <f>Fcast_TO!N201</f>
        <v>8</v>
      </c>
      <c r="O43" s="106">
        <f>Fcast_TO!O201</f>
        <v>9</v>
      </c>
      <c r="P43" s="106">
        <f>Fcast_TO!P201</f>
        <v>10</v>
      </c>
      <c r="Q43" s="106">
        <f>Fcast_TO!Q201</f>
        <v>11</v>
      </c>
    </row>
    <row r="44" spans="3:17">
      <c r="D44" s="148" t="str">
        <f>"Total "&amp;C37</f>
        <v>Total Current Liabilities</v>
      </c>
      <c r="J44" s="119">
        <f>SUM(J39:J43)</f>
        <v>24.801198630136987</v>
      </c>
      <c r="K44" s="119">
        <f t="shared" ref="K44:Q44" si="12">SUM(K39:K43)</f>
        <v>26.345603595890413</v>
      </c>
      <c r="L44" s="119">
        <f t="shared" si="12"/>
        <v>27.880614882172132</v>
      </c>
      <c r="M44" s="119">
        <f t="shared" si="12"/>
        <v>29.47558415293237</v>
      </c>
      <c r="N44" s="119">
        <f t="shared" si="12"/>
        <v>31.013098756755678</v>
      </c>
      <c r="O44" s="119">
        <f t="shared" si="12"/>
        <v>32.565269975674568</v>
      </c>
      <c r="P44" s="119">
        <f t="shared" si="12"/>
        <v>34.155822330102183</v>
      </c>
      <c r="Q44" s="119">
        <f t="shared" si="12"/>
        <v>35.812557080693082</v>
      </c>
    </row>
    <row r="45" spans="3:17">
      <c r="J45" s="106"/>
      <c r="K45" s="106"/>
      <c r="L45" s="106"/>
      <c r="M45" s="106"/>
      <c r="N45" s="106"/>
      <c r="O45" s="106"/>
      <c r="P45" s="106"/>
      <c r="Q45" s="106"/>
    </row>
    <row r="46" spans="3:17" ht="11.25">
      <c r="C46" s="127" t="s">
        <v>225</v>
      </c>
      <c r="J46" s="106"/>
      <c r="K46" s="106"/>
      <c r="L46" s="106"/>
      <c r="M46" s="106"/>
      <c r="N46" s="106"/>
      <c r="O46" s="106"/>
      <c r="P46" s="106"/>
      <c r="Q46" s="106"/>
    </row>
    <row r="47" spans="3:17">
      <c r="J47" s="106"/>
      <c r="K47" s="106"/>
      <c r="L47" s="106"/>
      <c r="M47" s="106"/>
      <c r="N47" s="106"/>
      <c r="O47" s="106"/>
      <c r="P47" s="106"/>
      <c r="Q47" s="106"/>
    </row>
    <row r="48" spans="3:17">
      <c r="D48" s="5" t="s">
        <v>226</v>
      </c>
      <c r="J48" s="106">
        <f>Fcast_TO!J104</f>
        <v>50</v>
      </c>
      <c r="K48" s="106">
        <f>Fcast_TO!K104</f>
        <v>50</v>
      </c>
      <c r="L48" s="106">
        <f>Fcast_TO!L104</f>
        <v>50</v>
      </c>
      <c r="M48" s="106">
        <f>Fcast_TO!M104</f>
        <v>50</v>
      </c>
      <c r="N48" s="106">
        <f>Fcast_TO!N104</f>
        <v>55</v>
      </c>
      <c r="O48" s="106">
        <f>Fcast_TO!O104</f>
        <v>55</v>
      </c>
      <c r="P48" s="106">
        <f>Fcast_TO!P104</f>
        <v>55</v>
      </c>
      <c r="Q48" s="106">
        <f>Fcast_TO!Q104</f>
        <v>55</v>
      </c>
    </row>
    <row r="49" spans="3:17">
      <c r="D49" s="5" t="s">
        <v>227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v>0</v>
      </c>
      <c r="P49" s="149">
        <v>0</v>
      </c>
      <c r="Q49" s="149">
        <v>0</v>
      </c>
    </row>
    <row r="50" spans="3:17">
      <c r="D50" s="6" t="str">
        <f>Fcast_TA!D92</f>
        <v>Other Non-Current Liabilities</v>
      </c>
      <c r="J50" s="106">
        <f>Fcast_TO!J213</f>
        <v>6</v>
      </c>
      <c r="K50" s="106">
        <f>Fcast_TO!K213</f>
        <v>7</v>
      </c>
      <c r="L50" s="106">
        <f>Fcast_TO!L213</f>
        <v>8</v>
      </c>
      <c r="M50" s="106">
        <f>Fcast_TO!M213</f>
        <v>9</v>
      </c>
      <c r="N50" s="106">
        <f>Fcast_TO!N213</f>
        <v>10</v>
      </c>
      <c r="O50" s="106">
        <f>Fcast_TO!O213</f>
        <v>11</v>
      </c>
      <c r="P50" s="106">
        <f>Fcast_TO!P213</f>
        <v>12</v>
      </c>
      <c r="Q50" s="106">
        <f>Fcast_TO!Q213</f>
        <v>13</v>
      </c>
    </row>
    <row r="51" spans="3:17">
      <c r="D51" s="148" t="str">
        <f>"Total "&amp;C46</f>
        <v>Total Non-Current Liabilities</v>
      </c>
      <c r="J51" s="119">
        <f>SUM(J48:J50)</f>
        <v>56</v>
      </c>
      <c r="K51" s="119">
        <f t="shared" ref="K51:Q51" si="13">SUM(K48:K50)</f>
        <v>57</v>
      </c>
      <c r="L51" s="119">
        <f t="shared" si="13"/>
        <v>58</v>
      </c>
      <c r="M51" s="119">
        <f t="shared" si="13"/>
        <v>59</v>
      </c>
      <c r="N51" s="119">
        <f t="shared" si="13"/>
        <v>65</v>
      </c>
      <c r="O51" s="119">
        <f t="shared" si="13"/>
        <v>66</v>
      </c>
      <c r="P51" s="119">
        <f t="shared" si="13"/>
        <v>67</v>
      </c>
      <c r="Q51" s="119">
        <f t="shared" si="13"/>
        <v>68</v>
      </c>
    </row>
    <row r="52" spans="3:17">
      <c r="J52" s="106"/>
      <c r="K52" s="106"/>
      <c r="L52" s="106"/>
      <c r="M52" s="106"/>
      <c r="N52" s="106"/>
      <c r="O52" s="106"/>
      <c r="P52" s="106"/>
      <c r="Q52" s="106"/>
    </row>
    <row r="53" spans="3:17" ht="11.25">
      <c r="C53" s="127" t="s">
        <v>228</v>
      </c>
      <c r="J53" s="141">
        <f t="shared" ref="J53:Q53" si="14">J44+J51</f>
        <v>80.80119863013698</v>
      </c>
      <c r="K53" s="141">
        <f t="shared" si="14"/>
        <v>83.34560359589041</v>
      </c>
      <c r="L53" s="141">
        <f t="shared" si="14"/>
        <v>85.880614882172125</v>
      </c>
      <c r="M53" s="141">
        <f t="shared" si="14"/>
        <v>88.47558415293237</v>
      </c>
      <c r="N53" s="141">
        <f t="shared" si="14"/>
        <v>96.013098756755682</v>
      </c>
      <c r="O53" s="141">
        <f t="shared" si="14"/>
        <v>98.565269975674568</v>
      </c>
      <c r="P53" s="141">
        <f t="shared" si="14"/>
        <v>101.15582233010218</v>
      </c>
      <c r="Q53" s="141">
        <f t="shared" si="14"/>
        <v>103.81255708069308</v>
      </c>
    </row>
    <row r="54" spans="3:17">
      <c r="J54" s="106"/>
      <c r="K54" s="106"/>
      <c r="L54" s="106"/>
      <c r="M54" s="106"/>
      <c r="N54" s="106"/>
      <c r="O54" s="106"/>
      <c r="P54" s="106"/>
      <c r="Q54" s="106"/>
    </row>
    <row r="55" spans="3:17" ht="12" thickBot="1">
      <c r="C55" s="127" t="s">
        <v>229</v>
      </c>
      <c r="J55" s="142">
        <f t="shared" ref="J55:Q55" si="15">J35-J53</f>
        <v>135.91875000000002</v>
      </c>
      <c r="K55" s="142">
        <f t="shared" si="15"/>
        <v>151.23890624999996</v>
      </c>
      <c r="L55" s="142">
        <f t="shared" si="15"/>
        <v>166.97050390624997</v>
      </c>
      <c r="M55" s="142">
        <f t="shared" si="15"/>
        <v>183.12382900390628</v>
      </c>
      <c r="N55" s="142">
        <f t="shared" si="15"/>
        <v>199.65254972900394</v>
      </c>
      <c r="O55" s="142">
        <f t="shared" si="15"/>
        <v>216.56747284722908</v>
      </c>
      <c r="P55" s="142">
        <f t="shared" si="15"/>
        <v>233.93655029340982</v>
      </c>
      <c r="Q55" s="142">
        <f t="shared" si="15"/>
        <v>251.77113592574506</v>
      </c>
    </row>
    <row r="56" spans="3:17" ht="11.25" thickTop="1">
      <c r="J56" s="106"/>
      <c r="K56" s="106"/>
      <c r="L56" s="106"/>
      <c r="M56" s="106"/>
      <c r="N56" s="106"/>
      <c r="O56" s="106"/>
      <c r="P56" s="106"/>
      <c r="Q56" s="106"/>
    </row>
    <row r="57" spans="3:17" ht="11.25">
      <c r="C57" s="127" t="s">
        <v>230</v>
      </c>
      <c r="J57" s="106"/>
      <c r="K57" s="106"/>
      <c r="L57" s="106"/>
      <c r="M57" s="106"/>
      <c r="N57" s="106"/>
      <c r="O57" s="106"/>
      <c r="P57" s="106"/>
      <c r="Q57" s="106"/>
    </row>
    <row r="58" spans="3:17">
      <c r="J58" s="106"/>
      <c r="K58" s="106"/>
      <c r="L58" s="106"/>
      <c r="M58" s="106"/>
      <c r="N58" s="106"/>
      <c r="O58" s="106"/>
      <c r="P58" s="106"/>
      <c r="Q58" s="106"/>
    </row>
    <row r="59" spans="3:17">
      <c r="D59" s="5" t="s">
        <v>231</v>
      </c>
      <c r="J59" s="106">
        <f>Fcast_TO!J130</f>
        <v>75</v>
      </c>
      <c r="K59" s="106">
        <f>Fcast_TO!K130</f>
        <v>75</v>
      </c>
      <c r="L59" s="106">
        <f>Fcast_TO!L130</f>
        <v>75</v>
      </c>
      <c r="M59" s="106">
        <f>Fcast_TO!M130</f>
        <v>75</v>
      </c>
      <c r="N59" s="106">
        <f>Fcast_TO!N130</f>
        <v>75</v>
      </c>
      <c r="O59" s="106">
        <f>Fcast_TO!O130</f>
        <v>75</v>
      </c>
      <c r="P59" s="106">
        <f>Fcast_TO!P130</f>
        <v>75</v>
      </c>
      <c r="Q59" s="106">
        <f>Fcast_TO!Q130</f>
        <v>75</v>
      </c>
    </row>
    <row r="60" spans="3:17" hidden="1" outlineLevel="2">
      <c r="J60" s="106"/>
      <c r="K60" s="106"/>
      <c r="L60" s="106"/>
      <c r="M60" s="106"/>
      <c r="N60" s="106"/>
      <c r="O60" s="106"/>
      <c r="P60" s="106"/>
      <c r="Q60" s="106"/>
    </row>
    <row r="61" spans="3:17" hidden="1" outlineLevel="2">
      <c r="E61" s="5" t="s">
        <v>181</v>
      </c>
      <c r="J61" s="136">
        <f>IF(J$12=1,0,I65)</f>
        <v>0</v>
      </c>
      <c r="K61" s="136">
        <f t="shared" ref="K61:Q61" si="16">IF(K$12=1,0,J65)</f>
        <v>60.918750000000003</v>
      </c>
      <c r="L61" s="136">
        <f t="shared" si="16"/>
        <v>76.238906250000014</v>
      </c>
      <c r="M61" s="136">
        <f t="shared" si="16"/>
        <v>91.970503906250016</v>
      </c>
      <c r="N61" s="136">
        <f t="shared" si="16"/>
        <v>108.12382900390628</v>
      </c>
      <c r="O61" s="136">
        <f t="shared" si="16"/>
        <v>124.65254972900394</v>
      </c>
      <c r="P61" s="136">
        <f t="shared" si="16"/>
        <v>141.56747284722906</v>
      </c>
      <c r="Q61" s="136">
        <f t="shared" si="16"/>
        <v>158.93655029340977</v>
      </c>
    </row>
    <row r="62" spans="3:17" hidden="1" outlineLevel="2">
      <c r="E62" s="5" t="s">
        <v>232</v>
      </c>
      <c r="J62" s="136">
        <f>IF(J$12=1,J55-J59-J61-J63-J64,0)</f>
        <v>46.000000000000014</v>
      </c>
      <c r="K62" s="136">
        <f t="shared" ref="K62:Q62" si="17">IF(K$12=1,K55-K59-K61-K63-K64,0)</f>
        <v>0</v>
      </c>
      <c r="L62" s="136">
        <f t="shared" si="17"/>
        <v>0</v>
      </c>
      <c r="M62" s="136">
        <f t="shared" si="17"/>
        <v>0</v>
      </c>
      <c r="N62" s="136">
        <f t="shared" si="17"/>
        <v>0</v>
      </c>
      <c r="O62" s="136">
        <f t="shared" si="17"/>
        <v>0</v>
      </c>
      <c r="P62" s="136">
        <f t="shared" si="17"/>
        <v>0</v>
      </c>
      <c r="Q62" s="136">
        <f t="shared" si="17"/>
        <v>0</v>
      </c>
    </row>
    <row r="63" spans="3:17" hidden="1" outlineLevel="2">
      <c r="E63" s="5" t="s">
        <v>233</v>
      </c>
      <c r="J63" s="136">
        <f>IS_TO!J39</f>
        <v>29.837499999999999</v>
      </c>
      <c r="K63" s="136">
        <f>IS_TO!K39</f>
        <v>30.6403125</v>
      </c>
      <c r="L63" s="136">
        <f>IS_TO!L39</f>
        <v>31.463195312500005</v>
      </c>
      <c r="M63" s="136">
        <f>IS_TO!M39</f>
        <v>32.306650195312507</v>
      </c>
      <c r="N63" s="136">
        <f>IS_TO!N39</f>
        <v>33.057441450195327</v>
      </c>
      <c r="O63" s="136">
        <f>IS_TO!O39</f>
        <v>33.829846236450202</v>
      </c>
      <c r="P63" s="136">
        <f>IS_TO!P39</f>
        <v>34.73815489236145</v>
      </c>
      <c r="Q63" s="136">
        <f>IS_TO!Q39</f>
        <v>35.669171264670474</v>
      </c>
    </row>
    <row r="64" spans="3:17" hidden="1" outlineLevel="2">
      <c r="E64" s="5" t="s">
        <v>234</v>
      </c>
      <c r="J64" s="150">
        <f>-Fcast_TO!J135</f>
        <v>-14.918749999999999</v>
      </c>
      <c r="K64" s="150">
        <f>-Fcast_TO!K135</f>
        <v>-15.32015625</v>
      </c>
      <c r="L64" s="150">
        <f>-Fcast_TO!L135</f>
        <v>-15.731597656250003</v>
      </c>
      <c r="M64" s="150">
        <f>-Fcast_TO!M135</f>
        <v>-16.153325097656253</v>
      </c>
      <c r="N64" s="150">
        <f>-Fcast_TO!N135</f>
        <v>-16.528720725097664</v>
      </c>
      <c r="O64" s="150">
        <f>-Fcast_TO!O135</f>
        <v>-16.914923118225101</v>
      </c>
      <c r="P64" s="150">
        <f>-Fcast_TO!P135</f>
        <v>-17.369077446180725</v>
      </c>
      <c r="Q64" s="150">
        <f>-Fcast_TO!Q135</f>
        <v>-17.834585632335237</v>
      </c>
    </row>
    <row r="65" spans="3:17" collapsed="1">
      <c r="D65" s="5" t="s">
        <v>235</v>
      </c>
      <c r="J65" s="136">
        <f>SUM(J61:J64)</f>
        <v>60.918750000000003</v>
      </c>
      <c r="K65" s="136">
        <f t="shared" ref="K65:Q65" si="18">SUM(K61:K64)</f>
        <v>76.238906250000014</v>
      </c>
      <c r="L65" s="136">
        <f t="shared" si="18"/>
        <v>91.970503906250016</v>
      </c>
      <c r="M65" s="136">
        <f t="shared" si="18"/>
        <v>108.12382900390628</v>
      </c>
      <c r="N65" s="136">
        <f t="shared" si="18"/>
        <v>124.65254972900394</v>
      </c>
      <c r="O65" s="136">
        <f t="shared" si="18"/>
        <v>141.56747284722906</v>
      </c>
      <c r="P65" s="136">
        <f t="shared" si="18"/>
        <v>158.93655029340977</v>
      </c>
      <c r="Q65" s="136">
        <f t="shared" si="18"/>
        <v>176.771135925745</v>
      </c>
    </row>
    <row r="66" spans="3:17">
      <c r="J66" s="106"/>
      <c r="K66" s="106"/>
      <c r="L66" s="106"/>
      <c r="M66" s="106"/>
      <c r="N66" s="106"/>
      <c r="O66" s="106"/>
      <c r="P66" s="106"/>
      <c r="Q66" s="106"/>
    </row>
    <row r="67" spans="3:17" ht="11.25">
      <c r="C67" s="124" t="str">
        <f>"Total "&amp;C57</f>
        <v>Total Equity</v>
      </c>
      <c r="J67" s="141">
        <f t="shared" ref="J67:Q67" si="19">J59+J65</f>
        <v>135.91874999999999</v>
      </c>
      <c r="K67" s="141">
        <f t="shared" si="19"/>
        <v>151.23890625000001</v>
      </c>
      <c r="L67" s="141">
        <f t="shared" si="19"/>
        <v>166.97050390625003</v>
      </c>
      <c r="M67" s="141">
        <f t="shared" si="19"/>
        <v>183.12382900390628</v>
      </c>
      <c r="N67" s="141">
        <f t="shared" si="19"/>
        <v>199.65254972900394</v>
      </c>
      <c r="O67" s="141">
        <f t="shared" si="19"/>
        <v>216.56747284722906</v>
      </c>
      <c r="P67" s="141">
        <f t="shared" si="19"/>
        <v>233.93655029340977</v>
      </c>
      <c r="Q67" s="141">
        <f t="shared" si="19"/>
        <v>251.771135925745</v>
      </c>
    </row>
    <row r="68" spans="3:17">
      <c r="J68" s="151"/>
      <c r="K68" s="151"/>
      <c r="L68" s="151"/>
      <c r="M68" s="151"/>
      <c r="N68" s="151"/>
      <c r="O68" s="151"/>
      <c r="P68" s="151"/>
      <c r="Q68" s="151"/>
    </row>
    <row r="69" spans="3:17" hidden="1" outlineLevel="2">
      <c r="D69" s="5" t="s">
        <v>236</v>
      </c>
      <c r="J69" s="133">
        <f t="shared" ref="J69:Q69" si="20">IF(ISERROR(J55-J67),1,0)</f>
        <v>0</v>
      </c>
      <c r="K69" s="133">
        <f t="shared" si="20"/>
        <v>0</v>
      </c>
      <c r="L69" s="133">
        <f t="shared" si="20"/>
        <v>0</v>
      </c>
      <c r="M69" s="133">
        <f t="shared" si="20"/>
        <v>0</v>
      </c>
      <c r="N69" s="133">
        <f t="shared" si="20"/>
        <v>0</v>
      </c>
      <c r="O69" s="133">
        <f t="shared" si="20"/>
        <v>0</v>
      </c>
      <c r="P69" s="133">
        <f t="shared" si="20"/>
        <v>0</v>
      </c>
      <c r="Q69" s="133">
        <f t="shared" si="20"/>
        <v>0</v>
      </c>
    </row>
    <row r="70" spans="3:17" hidden="1" outlineLevel="2">
      <c r="D70" s="5" t="s">
        <v>237</v>
      </c>
      <c r="J70" s="122">
        <f t="shared" ref="J70:Q70" si="21">IF(J69&lt;&gt;0,0,(ROUND(J55-J67,5)&lt;&gt;0)*1)</f>
        <v>0</v>
      </c>
      <c r="K70" s="122">
        <f t="shared" si="21"/>
        <v>0</v>
      </c>
      <c r="L70" s="122">
        <f t="shared" si="21"/>
        <v>0</v>
      </c>
      <c r="M70" s="122">
        <f t="shared" si="21"/>
        <v>0</v>
      </c>
      <c r="N70" s="122">
        <f t="shared" si="21"/>
        <v>0</v>
      </c>
      <c r="O70" s="122">
        <f t="shared" si="21"/>
        <v>0</v>
      </c>
      <c r="P70" s="122">
        <f t="shared" si="21"/>
        <v>0</v>
      </c>
      <c r="Q70" s="122">
        <f t="shared" si="21"/>
        <v>0</v>
      </c>
    </row>
    <row r="71" spans="3:17" collapsed="1">
      <c r="C71" s="5" t="s">
        <v>238</v>
      </c>
      <c r="I71" s="123">
        <f>IF(ISERROR(SUM(J71:Q71)),0,MIN(SUM(J71:Q71),1))</f>
        <v>0</v>
      </c>
      <c r="J71" s="120">
        <f t="shared" ref="J71:Q71" si="22">MIN(SUM(J69:J70),1)</f>
        <v>0</v>
      </c>
      <c r="K71" s="120">
        <f t="shared" si="22"/>
        <v>0</v>
      </c>
      <c r="L71" s="120">
        <f t="shared" si="22"/>
        <v>0</v>
      </c>
      <c r="M71" s="120">
        <f t="shared" si="22"/>
        <v>0</v>
      </c>
      <c r="N71" s="120">
        <f t="shared" si="22"/>
        <v>0</v>
      </c>
      <c r="O71" s="120">
        <f t="shared" si="22"/>
        <v>0</v>
      </c>
      <c r="P71" s="120">
        <f t="shared" si="22"/>
        <v>0</v>
      </c>
      <c r="Q71" s="120">
        <f t="shared" si="22"/>
        <v>0</v>
      </c>
    </row>
    <row r="72" spans="3:17" hidden="1" outlineLevel="2"/>
    <row r="73" spans="3:17" collapsed="1">
      <c r="C73" s="5" t="s">
        <v>239</v>
      </c>
      <c r="I73" s="123">
        <f>IF(ISERROR(SUM(J73:Q73)),0,MIN(SUM(J73:Q73),1))</f>
        <v>0</v>
      </c>
      <c r="J73" s="120">
        <f t="shared" ref="J73:Q73" si="23">IF(ISERROR(J22),0,(J22&lt;0)*1)</f>
        <v>0</v>
      </c>
      <c r="K73" s="120">
        <f t="shared" si="23"/>
        <v>0</v>
      </c>
      <c r="L73" s="120">
        <f t="shared" si="23"/>
        <v>0</v>
      </c>
      <c r="M73" s="120">
        <f t="shared" si="23"/>
        <v>0</v>
      </c>
      <c r="N73" s="120">
        <f t="shared" si="23"/>
        <v>0</v>
      </c>
      <c r="O73" s="120">
        <f t="shared" si="23"/>
        <v>0</v>
      </c>
      <c r="P73" s="120">
        <f t="shared" si="23"/>
        <v>0</v>
      </c>
      <c r="Q73" s="120">
        <f t="shared" si="23"/>
        <v>0</v>
      </c>
    </row>
    <row r="75" spans="3:17">
      <c r="C75" s="8" t="str">
        <f>"Go to "&amp;Err_Chk_11_Hdg</f>
        <v>Go to Income Statement</v>
      </c>
      <c r="D75" s="147"/>
      <c r="E75" s="147"/>
      <c r="F75" s="147"/>
      <c r="G75" s="147"/>
      <c r="H75" s="147"/>
      <c r="I75" s="147"/>
    </row>
    <row r="76" spans="3:17">
      <c r="C76" s="8" t="str">
        <f>"Go to "&amp;Err_Chk_14_Hdg</f>
        <v>Go to Cash Flow Statement</v>
      </c>
      <c r="D76" s="147"/>
      <c r="E76" s="147"/>
      <c r="F76" s="147"/>
      <c r="G76" s="147"/>
      <c r="H76" s="147"/>
    </row>
  </sheetData>
  <mergeCells count="1">
    <mergeCell ref="B3:F3"/>
  </mergeCells>
  <conditionalFormatting sqref="J69:Q71 I71 I73:Q73">
    <cfRule type="cellIs" dxfId="39" priority="3" stopIfTrue="1" operator="notEqual">
      <formula>0</formula>
    </cfRule>
  </conditionalFormatting>
  <conditionalFormatting sqref="C73">
    <cfRule type="expression" dxfId="38" priority="2" stopIfTrue="1">
      <formula>I73&lt;&gt;0</formula>
    </cfRule>
  </conditionalFormatting>
  <conditionalFormatting sqref="C71">
    <cfRule type="expression" dxfId="37" priority="1" stopIfTrue="1">
      <formula>I71&lt;&gt;0</formula>
    </cfRule>
  </conditionalFormatting>
  <hyperlinks>
    <hyperlink ref="C75:I75" location="HL_Sheet_Main_35" tooltip="Go to Income Statement" display="HL_Sheet_Main_35"/>
    <hyperlink ref="C76:H76" location="HL_Sheet_Main_37" tooltip="Go to Cash Flow Statement" display="HL_Sheet_Main_37"/>
    <hyperlink ref="B3" location="HL_Home" tooltip="Go to Table of Contents" display="HL_Home"/>
    <hyperlink ref="A4" location="$B$14" tooltip="Go to Top of Sheet" display="$B$14"/>
    <hyperlink ref="B4" location="HL_Sheet_Main_35" tooltip="Go to Previous Sheet" display="HL_Sheet_Main_35"/>
    <hyperlink ref="C4" location="HL_Sheet_Main_37" tooltip="Go to Next Sheet" display="HL_Sheet_Main_3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1" manualBreakCount="1">
    <brk id="45" min="1" max="16" man="1"/>
  </rowBreaks>
  <legacy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Q117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240</v>
      </c>
    </row>
    <row r="2" spans="1:17" ht="15">
      <c r="B2" s="7" t="str">
        <f>Model_Name</f>
        <v>SMA 13. Multiple Workbooks - Best Practice Model Example 1</v>
      </c>
    </row>
    <row r="3" spans="1:17">
      <c r="B3" s="241" t="s">
        <v>1</v>
      </c>
      <c r="C3" s="241"/>
      <c r="D3" s="241"/>
      <c r="E3" s="241"/>
      <c r="F3" s="241"/>
    </row>
    <row r="4" spans="1:17" ht="12.75">
      <c r="A4" s="91" t="s">
        <v>10</v>
      </c>
      <c r="B4" s="13" t="s">
        <v>26</v>
      </c>
      <c r="C4" s="14" t="s">
        <v>27</v>
      </c>
      <c r="D4" s="92" t="s">
        <v>38</v>
      </c>
      <c r="E4" s="92" t="s">
        <v>39</v>
      </c>
      <c r="F4" s="93" t="s">
        <v>40</v>
      </c>
    </row>
    <row r="6" spans="1:17">
      <c r="B6" s="94" t="str">
        <f>IF(TS_Pers_In_Yr=1,"",TS_Per_Type_Name&amp;" Ending")</f>
        <v/>
      </c>
      <c r="J6" s="95" t="str">
        <f t="shared" ref="J6:Q6" si="0">IF(TS_Pers_In_Yr=1,"",LEFT(INDEX(LU_Mth_Names,MONTH(J9)),3)&amp;"-"&amp;RIGHT(YEAR(J9),2))&amp;" "</f>
        <v xml:space="preserve"> </v>
      </c>
      <c r="K6" s="95" t="str">
        <f t="shared" si="0"/>
        <v xml:space="preserve"> </v>
      </c>
      <c r="L6" s="95" t="str">
        <f t="shared" si="0"/>
        <v xml:space="preserve"> </v>
      </c>
      <c r="M6" s="95" t="str">
        <f t="shared" si="0"/>
        <v xml:space="preserve"> </v>
      </c>
      <c r="N6" s="95" t="str">
        <f t="shared" si="0"/>
        <v xml:space="preserve"> </v>
      </c>
      <c r="O6" s="95" t="str">
        <f t="shared" si="0"/>
        <v xml:space="preserve"> </v>
      </c>
      <c r="P6" s="95" t="str">
        <f t="shared" si="0"/>
        <v xml:space="preserve"> </v>
      </c>
      <c r="Q6" s="95" t="str">
        <f t="shared" si="0"/>
        <v xml:space="preserve"> </v>
      </c>
    </row>
    <row r="7" spans="1:17">
      <c r="B7" s="96" t="str">
        <f>IF(TS_Pers_In_Yr=1,Yr_Name&amp;" Ending "&amp;DAY(TS_Per_1_End_Date)&amp;" "&amp;INDEX(LU_Mth_Names,DD_TS_Fin_YE_Mth),TS_Per_Type_Name)</f>
        <v>Year Ending 31 December</v>
      </c>
      <c r="C7" s="97"/>
      <c r="D7" s="97"/>
      <c r="E7" s="97"/>
      <c r="F7" s="97"/>
      <c r="G7" s="97"/>
      <c r="H7" s="97"/>
      <c r="I7" s="97"/>
      <c r="J7" s="98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98" t="str">
        <f t="shared" si="1"/>
        <v xml:space="preserve">2011 (F) </v>
      </c>
      <c r="L7" s="98" t="str">
        <f t="shared" si="1"/>
        <v xml:space="preserve">2012 (F) </v>
      </c>
      <c r="M7" s="98" t="str">
        <f t="shared" si="1"/>
        <v xml:space="preserve">2013 (F) </v>
      </c>
      <c r="N7" s="98" t="str">
        <f t="shared" si="1"/>
        <v xml:space="preserve">2014 (F) </v>
      </c>
      <c r="O7" s="98" t="str">
        <f t="shared" si="1"/>
        <v xml:space="preserve">2015 (F) </v>
      </c>
      <c r="P7" s="98" t="str">
        <f t="shared" si="1"/>
        <v xml:space="preserve">2016 (F) </v>
      </c>
      <c r="Q7" s="98" t="str">
        <f t="shared" si="1"/>
        <v xml:space="preserve">2017 (F) </v>
      </c>
    </row>
    <row r="8" spans="1:17" hidden="1" outlineLevel="2">
      <c r="B8" s="15" t="s">
        <v>108</v>
      </c>
      <c r="J8" s="99">
        <f t="shared" ref="J8:Q8" si="2">IF(J12=1,TS_Start_Date,I9+1)</f>
        <v>40179</v>
      </c>
      <c r="K8" s="99">
        <f t="shared" si="2"/>
        <v>40544</v>
      </c>
      <c r="L8" s="99">
        <f t="shared" si="2"/>
        <v>40909</v>
      </c>
      <c r="M8" s="99">
        <f t="shared" si="2"/>
        <v>41275</v>
      </c>
      <c r="N8" s="99">
        <f t="shared" si="2"/>
        <v>41640</v>
      </c>
      <c r="O8" s="99">
        <f t="shared" si="2"/>
        <v>42005</v>
      </c>
      <c r="P8" s="99">
        <f t="shared" si="2"/>
        <v>42370</v>
      </c>
      <c r="Q8" s="99">
        <f t="shared" si="2"/>
        <v>42736</v>
      </c>
    </row>
    <row r="9" spans="1:17" hidden="1" outlineLevel="2">
      <c r="B9" s="15" t="s">
        <v>109</v>
      </c>
      <c r="J9" s="99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99">
        <f t="shared" si="3"/>
        <v>40908</v>
      </c>
      <c r="L9" s="99">
        <f t="shared" si="3"/>
        <v>41274</v>
      </c>
      <c r="M9" s="99">
        <f t="shared" si="3"/>
        <v>41639</v>
      </c>
      <c r="N9" s="99">
        <f t="shared" si="3"/>
        <v>42004</v>
      </c>
      <c r="O9" s="99">
        <f t="shared" si="3"/>
        <v>42369</v>
      </c>
      <c r="P9" s="99">
        <f t="shared" si="3"/>
        <v>42735</v>
      </c>
      <c r="Q9" s="99">
        <f t="shared" si="3"/>
        <v>43100</v>
      </c>
    </row>
    <row r="10" spans="1:17" hidden="1" outlineLevel="2">
      <c r="B10" s="15" t="s">
        <v>110</v>
      </c>
      <c r="J10" s="100">
        <f t="shared" ref="J10:Q10" si="4">YEAR(TS_Per_1_FY_End_Date)+INT((TS_Per_1_Number+J12-2)/TS_Pers_In_Yr)</f>
        <v>2010</v>
      </c>
      <c r="K10" s="100">
        <f t="shared" si="4"/>
        <v>2011</v>
      </c>
      <c r="L10" s="100">
        <f t="shared" si="4"/>
        <v>2012</v>
      </c>
      <c r="M10" s="100">
        <f t="shared" si="4"/>
        <v>2013</v>
      </c>
      <c r="N10" s="100">
        <f t="shared" si="4"/>
        <v>2014</v>
      </c>
      <c r="O10" s="100">
        <f t="shared" si="4"/>
        <v>2015</v>
      </c>
      <c r="P10" s="100">
        <f t="shared" si="4"/>
        <v>2016</v>
      </c>
      <c r="Q10" s="100">
        <f t="shared" si="4"/>
        <v>2017</v>
      </c>
    </row>
    <row r="11" spans="1:17" hidden="1" outlineLevel="2">
      <c r="B11" s="15" t="s">
        <v>111</v>
      </c>
      <c r="J11" s="101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1" t="str">
        <f t="shared" si="5"/>
        <v xml:space="preserve">Year </v>
      </c>
      <c r="L11" s="101" t="str">
        <f t="shared" si="5"/>
        <v xml:space="preserve">Year </v>
      </c>
      <c r="M11" s="101" t="str">
        <f t="shared" si="5"/>
        <v xml:space="preserve">Year </v>
      </c>
      <c r="N11" s="101" t="str">
        <f t="shared" si="5"/>
        <v xml:space="preserve">Year </v>
      </c>
      <c r="O11" s="101" t="str">
        <f t="shared" si="5"/>
        <v xml:space="preserve">Year </v>
      </c>
      <c r="P11" s="101" t="str">
        <f t="shared" si="5"/>
        <v xml:space="preserve">Year </v>
      </c>
      <c r="Q11" s="101" t="str">
        <f t="shared" si="5"/>
        <v xml:space="preserve">Year </v>
      </c>
    </row>
    <row r="12" spans="1:17" hidden="1" outlineLevel="2">
      <c r="B12" s="15" t="s">
        <v>112</v>
      </c>
      <c r="J12" s="102">
        <f>COLUMN(J12)-COLUMN($J12)+1</f>
        <v>1</v>
      </c>
      <c r="K12" s="102">
        <f t="shared" ref="K12:Q12" si="6">COLUMN(K12)-COLUMN($J12)+1</f>
        <v>2</v>
      </c>
      <c r="L12" s="102">
        <f t="shared" si="6"/>
        <v>3</v>
      </c>
      <c r="M12" s="102">
        <f t="shared" si="6"/>
        <v>4</v>
      </c>
      <c r="N12" s="102">
        <f t="shared" si="6"/>
        <v>5</v>
      </c>
      <c r="O12" s="102">
        <f t="shared" si="6"/>
        <v>6</v>
      </c>
      <c r="P12" s="102">
        <f t="shared" si="6"/>
        <v>7</v>
      </c>
      <c r="Q12" s="102">
        <f t="shared" si="6"/>
        <v>8</v>
      </c>
    </row>
    <row r="13" spans="1:17" hidden="1" outlineLevel="2">
      <c r="B13" s="103" t="s">
        <v>113</v>
      </c>
      <c r="C13" s="97"/>
      <c r="D13" s="97"/>
      <c r="E13" s="97"/>
      <c r="F13" s="97"/>
      <c r="G13" s="97"/>
      <c r="H13" s="97"/>
      <c r="I13" s="97"/>
      <c r="J13" s="104" t="str">
        <f>J10&amp;"-"&amp;J11</f>
        <v xml:space="preserve">2010-Year </v>
      </c>
      <c r="K13" s="104" t="str">
        <f t="shared" ref="K13:Q13" si="7">K10&amp;"-"&amp;K11</f>
        <v xml:space="preserve">2011-Year </v>
      </c>
      <c r="L13" s="104" t="str">
        <f t="shared" si="7"/>
        <v xml:space="preserve">2012-Year </v>
      </c>
      <c r="M13" s="104" t="str">
        <f t="shared" si="7"/>
        <v xml:space="preserve">2013-Year </v>
      </c>
      <c r="N13" s="104" t="str">
        <f t="shared" si="7"/>
        <v xml:space="preserve">2014-Year </v>
      </c>
      <c r="O13" s="104" t="str">
        <f t="shared" si="7"/>
        <v xml:space="preserve">2015-Year </v>
      </c>
      <c r="P13" s="104" t="str">
        <f t="shared" si="7"/>
        <v xml:space="preserve">2016-Year </v>
      </c>
      <c r="Q13" s="104" t="str">
        <f t="shared" si="7"/>
        <v xml:space="preserve">2017-Year </v>
      </c>
    </row>
    <row r="14" spans="1:17" collapsed="1"/>
    <row r="16" spans="1:17" ht="12.75">
      <c r="B16" s="126" t="s">
        <v>241</v>
      </c>
    </row>
    <row r="18" spans="3:17" ht="11.25">
      <c r="C18" s="127" t="s">
        <v>242</v>
      </c>
    </row>
    <row r="20" spans="3:17" hidden="1" outlineLevel="2">
      <c r="E20" s="6" t="str">
        <f>Fcast_TO!C18</f>
        <v>Revenue</v>
      </c>
      <c r="J20" s="106">
        <f>Fcast_TO!J18</f>
        <v>125</v>
      </c>
      <c r="K20" s="106">
        <f>Fcast_TO!K18</f>
        <v>128.125</v>
      </c>
      <c r="L20" s="106">
        <f>Fcast_TO!L18</f>
        <v>131.328125</v>
      </c>
      <c r="M20" s="106">
        <f>Fcast_TO!M18</f>
        <v>134.611328125</v>
      </c>
      <c r="N20" s="106">
        <f>Fcast_TO!N18</f>
        <v>137.97661132812499</v>
      </c>
      <c r="O20" s="106">
        <f>Fcast_TO!O18</f>
        <v>141.4260266113281</v>
      </c>
      <c r="P20" s="106">
        <f>Fcast_TO!P18</f>
        <v>144.96167727661128</v>
      </c>
      <c r="Q20" s="106">
        <f>Fcast_TO!Q18</f>
        <v>148.58571920852654</v>
      </c>
    </row>
    <row r="21" spans="3:17" hidden="1" outlineLevel="2">
      <c r="E21" s="5" t="s">
        <v>243</v>
      </c>
      <c r="J21" s="144">
        <f>-Fcast_TO!J36</f>
        <v>10.726027397260282</v>
      </c>
      <c r="K21" s="144">
        <f>-Fcast_TO!K36</f>
        <v>-0.25684931506850717</v>
      </c>
      <c r="L21" s="144">
        <f>-Fcast_TO!L36</f>
        <v>-0.23377849202785228</v>
      </c>
      <c r="M21" s="144">
        <f>-Fcast_TO!M36</f>
        <v>-0.29934436756118998</v>
      </c>
      <c r="N21" s="144">
        <f>-Fcast_TO!N36</f>
        <v>-0.27659861943493524</v>
      </c>
      <c r="O21" s="144">
        <f>-Fcast_TO!O36</f>
        <v>-0.28351358492079726</v>
      </c>
      <c r="P21" s="144">
        <f>-Fcast_TO!P36</f>
        <v>-0.25804771305121221</v>
      </c>
      <c r="Q21" s="144">
        <f>-Fcast_TO!Q36</f>
        <v>-0.3304201716500188</v>
      </c>
    </row>
    <row r="22" spans="3:17" collapsed="1">
      <c r="D22" s="5" t="s">
        <v>244</v>
      </c>
      <c r="J22" s="106">
        <f>J20+J21</f>
        <v>135.72602739726028</v>
      </c>
      <c r="K22" s="106">
        <f t="shared" ref="K22:Q22" si="8">K20+K21</f>
        <v>127.86815068493149</v>
      </c>
      <c r="L22" s="106">
        <f t="shared" si="8"/>
        <v>131.09434650797215</v>
      </c>
      <c r="M22" s="106">
        <f t="shared" si="8"/>
        <v>134.31198375743881</v>
      </c>
      <c r="N22" s="106">
        <f t="shared" si="8"/>
        <v>137.70001270869005</v>
      </c>
      <c r="O22" s="106">
        <f t="shared" si="8"/>
        <v>141.1425130264073</v>
      </c>
      <c r="P22" s="106">
        <f t="shared" si="8"/>
        <v>144.70362956356007</v>
      </c>
      <c r="Q22" s="106">
        <f t="shared" si="8"/>
        <v>148.25529903687652</v>
      </c>
    </row>
    <row r="23" spans="3:17" hidden="1" outlineLevel="2">
      <c r="D23" s="6"/>
      <c r="E23" s="6" t="str">
        <f>Fcast_TO!C19</f>
        <v>Cost of Goods Sold</v>
      </c>
      <c r="J23" s="106">
        <f>-Fcast_TO!J19</f>
        <v>-25</v>
      </c>
      <c r="K23" s="106">
        <f>-Fcast_TO!K19</f>
        <v>-25.624999999999996</v>
      </c>
      <c r="L23" s="106">
        <f>-Fcast_TO!L19</f>
        <v>-26.265624999999993</v>
      </c>
      <c r="M23" s="106">
        <f>-Fcast_TO!M19</f>
        <v>-26.922265624999991</v>
      </c>
      <c r="N23" s="106">
        <f>-Fcast_TO!N19</f>
        <v>-27.59532226562499</v>
      </c>
      <c r="O23" s="106">
        <f>-Fcast_TO!O19</f>
        <v>-28.285205322265611</v>
      </c>
      <c r="P23" s="106">
        <f>-Fcast_TO!P19</f>
        <v>-28.992335455322248</v>
      </c>
      <c r="Q23" s="106">
        <f>-Fcast_TO!Q19</f>
        <v>-29.717143841705301</v>
      </c>
    </row>
    <row r="24" spans="3:17" hidden="1" outlineLevel="2">
      <c r="D24" s="6"/>
      <c r="E24" s="6" t="str">
        <f>Fcast_TO!C20</f>
        <v>Operating Expenditure</v>
      </c>
      <c r="J24" s="106">
        <f>-Fcast_TO!J20</f>
        <v>-40</v>
      </c>
      <c r="K24" s="106">
        <f>-Fcast_TO!K20</f>
        <v>-41</v>
      </c>
      <c r="L24" s="106">
        <f>-Fcast_TO!L20</f>
        <v>-42.024999999999999</v>
      </c>
      <c r="M24" s="106">
        <f>-Fcast_TO!M20</f>
        <v>-43.075624999999995</v>
      </c>
      <c r="N24" s="106">
        <f>-Fcast_TO!N20</f>
        <v>-44.152515624999992</v>
      </c>
      <c r="O24" s="106">
        <f>-Fcast_TO!O20</f>
        <v>-45.256328515624986</v>
      </c>
      <c r="P24" s="106">
        <f>-Fcast_TO!P20</f>
        <v>-46.387736728515605</v>
      </c>
      <c r="Q24" s="106">
        <f>-Fcast_TO!Q20</f>
        <v>-47.547430146728495</v>
      </c>
    </row>
    <row r="25" spans="3:17" hidden="1" outlineLevel="2">
      <c r="D25" s="6"/>
      <c r="E25" s="5" t="s">
        <v>245</v>
      </c>
      <c r="J25" s="144">
        <f>Fcast_TO!J50</f>
        <v>-7.9863013698630141</v>
      </c>
      <c r="K25" s="144">
        <f>Fcast_TO!K50</f>
        <v>0.20034246575342252</v>
      </c>
      <c r="L25" s="144">
        <f>Fcast_TO!L50</f>
        <v>0.18234722378171853</v>
      </c>
      <c r="M25" s="144">
        <f>Fcast_TO!M50</f>
        <v>0.2334886066977333</v>
      </c>
      <c r="N25" s="144">
        <f>Fcast_TO!N50</f>
        <v>0.21574692315924437</v>
      </c>
      <c r="O25" s="144">
        <f>Fcast_TO!O50</f>
        <v>0.22114059623822868</v>
      </c>
      <c r="P25" s="144">
        <f>Fcast_TO!P50</f>
        <v>0.20127721617994609</v>
      </c>
      <c r="Q25" s="144">
        <f>Fcast_TO!Q50</f>
        <v>0.25772773388702319</v>
      </c>
    </row>
    <row r="26" spans="3:17" collapsed="1">
      <c r="D26" s="5" t="s">
        <v>246</v>
      </c>
      <c r="J26" s="106">
        <f>SUM(J23:J25)</f>
        <v>-72.986301369863014</v>
      </c>
      <c r="K26" s="106">
        <f t="shared" ref="K26:Q26" si="9">SUM(K23:K25)</f>
        <v>-66.424657534246577</v>
      </c>
      <c r="L26" s="106">
        <f t="shared" si="9"/>
        <v>-68.108277776218273</v>
      </c>
      <c r="M26" s="106">
        <f t="shared" si="9"/>
        <v>-69.764402018302249</v>
      </c>
      <c r="N26" s="106">
        <f t="shared" si="9"/>
        <v>-71.532090967465734</v>
      </c>
      <c r="O26" s="106">
        <f t="shared" si="9"/>
        <v>-73.320393241652368</v>
      </c>
      <c r="P26" s="106">
        <f t="shared" si="9"/>
        <v>-75.178794967657907</v>
      </c>
      <c r="Q26" s="106">
        <f t="shared" si="9"/>
        <v>-77.006846254546772</v>
      </c>
    </row>
    <row r="27" spans="3:17">
      <c r="D27" s="6" t="str">
        <f>Fcast_TO!E120</f>
        <v>Interest Paid</v>
      </c>
      <c r="J27" s="106">
        <f>Fcast_TO!J120</f>
        <v>-3.25</v>
      </c>
      <c r="K27" s="106">
        <f>Fcast_TO!K120</f>
        <v>-3.25</v>
      </c>
      <c r="L27" s="106">
        <f>Fcast_TO!L120</f>
        <v>-3.25</v>
      </c>
      <c r="M27" s="106">
        <f>Fcast_TO!M120</f>
        <v>-3.25</v>
      </c>
      <c r="N27" s="106">
        <f>Fcast_TO!N120</f>
        <v>-3.4125000000000001</v>
      </c>
      <c r="O27" s="106">
        <f>Fcast_TO!O120</f>
        <v>-3.5750000000000002</v>
      </c>
      <c r="P27" s="106">
        <f>Fcast_TO!P120</f>
        <v>-3.5750000000000002</v>
      </c>
      <c r="Q27" s="106">
        <f>Fcast_TO!Q120</f>
        <v>-3.5750000000000002</v>
      </c>
    </row>
    <row r="28" spans="3:17">
      <c r="D28" s="6" t="str">
        <f>Fcast_TO!D185</f>
        <v>Tax Paid</v>
      </c>
      <c r="J28" s="106">
        <f>Fcast_TO!J185</f>
        <v>-3.5</v>
      </c>
      <c r="K28" s="106">
        <f>Fcast_TO!K185</f>
        <v>-12.7875</v>
      </c>
      <c r="L28" s="106">
        <f>Fcast_TO!L185</f>
        <v>-13.131562499999999</v>
      </c>
      <c r="M28" s="106">
        <f>Fcast_TO!M185</f>
        <v>-13.4842265625</v>
      </c>
      <c r="N28" s="106">
        <f>Fcast_TO!N185</f>
        <v>-13.845707226562503</v>
      </c>
      <c r="O28" s="106">
        <f>Fcast_TO!O185</f>
        <v>-14.167474907226566</v>
      </c>
      <c r="P28" s="106">
        <f>Fcast_TO!P185</f>
        <v>-14.498505529907227</v>
      </c>
      <c r="Q28" s="106">
        <f>Fcast_TO!Q185</f>
        <v>-14.887780668154907</v>
      </c>
    </row>
    <row r="29" spans="3:17">
      <c r="D29" s="5" t="s">
        <v>247</v>
      </c>
      <c r="J29" s="106">
        <f>-Fcast_TO!J194</f>
        <v>-1</v>
      </c>
      <c r="K29" s="106">
        <f>-Fcast_TO!K194</f>
        <v>-1</v>
      </c>
      <c r="L29" s="106">
        <f>-Fcast_TO!L194</f>
        <v>-1</v>
      </c>
      <c r="M29" s="106">
        <f>-Fcast_TO!M194</f>
        <v>-1</v>
      </c>
      <c r="N29" s="106">
        <f>-Fcast_TO!N194</f>
        <v>-1</v>
      </c>
      <c r="O29" s="106">
        <f>-Fcast_TO!O194</f>
        <v>-1</v>
      </c>
      <c r="P29" s="106">
        <f>-Fcast_TO!P194</f>
        <v>-1</v>
      </c>
      <c r="Q29" s="106">
        <f>-Fcast_TO!Q194</f>
        <v>-1</v>
      </c>
    </row>
    <row r="30" spans="3:17">
      <c r="D30" s="5" t="s">
        <v>248</v>
      </c>
      <c r="J30" s="106">
        <f>Fcast_TO!J200</f>
        <v>1</v>
      </c>
      <c r="K30" s="106">
        <f>Fcast_TO!K200</f>
        <v>1</v>
      </c>
      <c r="L30" s="106">
        <f>Fcast_TO!L200</f>
        <v>1</v>
      </c>
      <c r="M30" s="106">
        <f>Fcast_TO!M200</f>
        <v>1</v>
      </c>
      <c r="N30" s="106">
        <f>Fcast_TO!N200</f>
        <v>1</v>
      </c>
      <c r="O30" s="106">
        <f>Fcast_TO!O200</f>
        <v>1</v>
      </c>
      <c r="P30" s="106">
        <f>Fcast_TO!P200</f>
        <v>1</v>
      </c>
      <c r="Q30" s="106">
        <f>Fcast_TO!Q200</f>
        <v>1</v>
      </c>
    </row>
    <row r="31" spans="3:17">
      <c r="D31" s="148" t="str">
        <f>"Net "&amp;C18</f>
        <v>Net Cash Flow from Operating Activities</v>
      </c>
      <c r="J31" s="141">
        <f>J22+J26+SUM(J27:J30)</f>
        <v>55.989726027397268</v>
      </c>
      <c r="K31" s="141">
        <f t="shared" ref="K31:Q31" si="10">K22+K26+SUM(K27:K30)</f>
        <v>45.405993150684914</v>
      </c>
      <c r="L31" s="141">
        <f t="shared" si="10"/>
        <v>46.604506231753874</v>
      </c>
      <c r="M31" s="141">
        <f t="shared" si="10"/>
        <v>47.813355176636563</v>
      </c>
      <c r="N31" s="141">
        <f t="shared" si="10"/>
        <v>48.909714514661815</v>
      </c>
      <c r="O31" s="141">
        <f t="shared" si="10"/>
        <v>50.079644877528366</v>
      </c>
      <c r="P31" s="141">
        <f t="shared" si="10"/>
        <v>51.45132906599494</v>
      </c>
      <c r="Q31" s="141">
        <f t="shared" si="10"/>
        <v>52.785672114174844</v>
      </c>
    </row>
    <row r="32" spans="3:17">
      <c r="J32" s="106"/>
      <c r="K32" s="106"/>
      <c r="L32" s="106"/>
      <c r="M32" s="106"/>
      <c r="N32" s="106"/>
      <c r="O32" s="106"/>
      <c r="P32" s="106"/>
      <c r="Q32" s="106"/>
    </row>
    <row r="33" spans="3:17" ht="11.25">
      <c r="C33" s="127" t="s">
        <v>249</v>
      </c>
      <c r="J33" s="106"/>
      <c r="K33" s="106"/>
      <c r="L33" s="106"/>
      <c r="M33" s="106"/>
      <c r="N33" s="106"/>
      <c r="O33" s="106"/>
      <c r="P33" s="106"/>
      <c r="Q33" s="106"/>
    </row>
    <row r="34" spans="3:17">
      <c r="J34" s="106"/>
      <c r="K34" s="106"/>
      <c r="L34" s="106"/>
      <c r="M34" s="106"/>
      <c r="N34" s="106"/>
      <c r="O34" s="106"/>
      <c r="P34" s="106"/>
      <c r="Q34" s="106"/>
    </row>
    <row r="35" spans="3:17">
      <c r="D35" s="6" t="str">
        <f>Fcast_TO!C21</f>
        <v>Capital Expenditure - Assets</v>
      </c>
      <c r="J35" s="106">
        <f>-Fcast_TO!J21</f>
        <v>-15</v>
      </c>
      <c r="K35" s="106">
        <f>-Fcast_TO!K21</f>
        <v>-15.374999999999998</v>
      </c>
      <c r="L35" s="106">
        <f>-Fcast_TO!L21</f>
        <v>-15.759374999999997</v>
      </c>
      <c r="M35" s="106">
        <f>-Fcast_TO!M21</f>
        <v>-16.153359374999994</v>
      </c>
      <c r="N35" s="106">
        <f>-Fcast_TO!N21</f>
        <v>-16.557193359374992</v>
      </c>
      <c r="O35" s="106">
        <f>-Fcast_TO!O21</f>
        <v>-16.971123193359364</v>
      </c>
      <c r="P35" s="106">
        <f>-Fcast_TO!P21</f>
        <v>-17.395401273193347</v>
      </c>
      <c r="Q35" s="106">
        <f>-Fcast_TO!Q21</f>
        <v>-17.830286305023179</v>
      </c>
    </row>
    <row r="36" spans="3:17">
      <c r="D36" s="6" t="str">
        <f>Fcast_TO!C22</f>
        <v>Capital Expenditure - Intangibles</v>
      </c>
      <c r="J36" s="106">
        <f>-Fcast_TO!J22</f>
        <v>-2.5</v>
      </c>
      <c r="K36" s="106">
        <f>-Fcast_TO!K22</f>
        <v>-2.5625</v>
      </c>
      <c r="L36" s="106">
        <f>-Fcast_TO!L22</f>
        <v>-2.6265624999999999</v>
      </c>
      <c r="M36" s="106">
        <f>-Fcast_TO!M22</f>
        <v>-2.6922265624999997</v>
      </c>
      <c r="N36" s="106">
        <f>-Fcast_TO!N22</f>
        <v>-2.7595322265624995</v>
      </c>
      <c r="O36" s="106">
        <f>-Fcast_TO!O22</f>
        <v>-2.8285205322265616</v>
      </c>
      <c r="P36" s="106">
        <f>-Fcast_TO!P22</f>
        <v>-2.8992335455322253</v>
      </c>
      <c r="Q36" s="106">
        <f>-Fcast_TO!Q22</f>
        <v>-2.9717143841705309</v>
      </c>
    </row>
    <row r="37" spans="3:17">
      <c r="D37" s="5" t="s">
        <v>250</v>
      </c>
      <c r="J37" s="106">
        <f>-Fcast_TO!J206</f>
        <v>-1</v>
      </c>
      <c r="K37" s="106">
        <f>-Fcast_TO!K206</f>
        <v>-1</v>
      </c>
      <c r="L37" s="106">
        <f>-Fcast_TO!L206</f>
        <v>-1</v>
      </c>
      <c r="M37" s="106">
        <f>-Fcast_TO!M206</f>
        <v>-1</v>
      </c>
      <c r="N37" s="106">
        <f>-Fcast_TO!N206</f>
        <v>-1</v>
      </c>
      <c r="O37" s="106">
        <f>-Fcast_TO!O206</f>
        <v>-1</v>
      </c>
      <c r="P37" s="106">
        <f>-Fcast_TO!P206</f>
        <v>-1</v>
      </c>
      <c r="Q37" s="106">
        <f>-Fcast_TO!Q206</f>
        <v>-1</v>
      </c>
    </row>
    <row r="38" spans="3:17">
      <c r="D38" s="5" t="s">
        <v>251</v>
      </c>
      <c r="J38" s="106">
        <f>Fcast_TO!J212</f>
        <v>1</v>
      </c>
      <c r="K38" s="106">
        <f>Fcast_TO!K212</f>
        <v>1</v>
      </c>
      <c r="L38" s="106">
        <f>Fcast_TO!L212</f>
        <v>1</v>
      </c>
      <c r="M38" s="106">
        <f>Fcast_TO!M212</f>
        <v>1</v>
      </c>
      <c r="N38" s="106">
        <f>Fcast_TO!N212</f>
        <v>1</v>
      </c>
      <c r="O38" s="106">
        <f>Fcast_TO!O212</f>
        <v>1</v>
      </c>
      <c r="P38" s="106">
        <f>Fcast_TO!P212</f>
        <v>1</v>
      </c>
      <c r="Q38" s="106">
        <f>Fcast_TO!Q212</f>
        <v>1</v>
      </c>
    </row>
    <row r="39" spans="3:17">
      <c r="D39" s="148" t="str">
        <f>"Net "&amp;C33</f>
        <v>Net Cash Flow from Investing Activities</v>
      </c>
      <c r="J39" s="141">
        <f>SUM(J35:J38)</f>
        <v>-17.5</v>
      </c>
      <c r="K39" s="141">
        <f t="shared" ref="K39:Q39" si="11">SUM(K35:K38)</f>
        <v>-17.9375</v>
      </c>
      <c r="L39" s="141">
        <f t="shared" si="11"/>
        <v>-18.385937499999997</v>
      </c>
      <c r="M39" s="141">
        <f t="shared" si="11"/>
        <v>-18.845585937499994</v>
      </c>
      <c r="N39" s="141">
        <f t="shared" si="11"/>
        <v>-19.31672558593749</v>
      </c>
      <c r="O39" s="141">
        <f t="shared" si="11"/>
        <v>-19.799643725585927</v>
      </c>
      <c r="P39" s="141">
        <f t="shared" si="11"/>
        <v>-20.294634818725573</v>
      </c>
      <c r="Q39" s="141">
        <f t="shared" si="11"/>
        <v>-20.802000689193711</v>
      </c>
    </row>
    <row r="40" spans="3:17">
      <c r="J40" s="106"/>
      <c r="K40" s="106"/>
      <c r="L40" s="106"/>
      <c r="M40" s="106"/>
      <c r="N40" s="106"/>
      <c r="O40" s="106"/>
      <c r="P40" s="106"/>
      <c r="Q40" s="106"/>
    </row>
    <row r="41" spans="3:17" ht="11.25">
      <c r="C41" s="127" t="s">
        <v>252</v>
      </c>
      <c r="J41" s="106"/>
      <c r="K41" s="106"/>
      <c r="L41" s="106"/>
      <c r="M41" s="106"/>
      <c r="N41" s="106"/>
      <c r="O41" s="106"/>
      <c r="P41" s="106"/>
      <c r="Q41" s="106"/>
    </row>
    <row r="42" spans="3:17">
      <c r="J42" s="106"/>
      <c r="K42" s="106"/>
      <c r="L42" s="106"/>
      <c r="M42" s="106"/>
      <c r="N42" s="106"/>
      <c r="O42" s="106"/>
      <c r="P42" s="106"/>
      <c r="Q42" s="106"/>
    </row>
    <row r="43" spans="3:17">
      <c r="D43" s="6" t="str">
        <f>Fcast_TO!E102</f>
        <v>Debt Drawdowns</v>
      </c>
      <c r="J43" s="106">
        <f>Fcast_TO!J102</f>
        <v>0</v>
      </c>
      <c r="K43" s="106">
        <f>Fcast_TO!K102</f>
        <v>0</v>
      </c>
      <c r="L43" s="106">
        <f>Fcast_TO!L102</f>
        <v>0</v>
      </c>
      <c r="M43" s="106">
        <f>Fcast_TO!M102</f>
        <v>0</v>
      </c>
      <c r="N43" s="106">
        <f>Fcast_TO!N102</f>
        <v>50</v>
      </c>
      <c r="O43" s="106">
        <f>Fcast_TO!O102</f>
        <v>0</v>
      </c>
      <c r="P43" s="106">
        <f>Fcast_TO!P102</f>
        <v>0</v>
      </c>
      <c r="Q43" s="106">
        <f>Fcast_TO!Q102</f>
        <v>0</v>
      </c>
    </row>
    <row r="44" spans="3:17">
      <c r="D44" s="6" t="str">
        <f>Fcast_TO!E103</f>
        <v>Debt Repayments</v>
      </c>
      <c r="J44" s="106">
        <f>Fcast_TO!J103</f>
        <v>0</v>
      </c>
      <c r="K44" s="106">
        <f>Fcast_TO!K103</f>
        <v>0</v>
      </c>
      <c r="L44" s="106">
        <f>Fcast_TO!L103</f>
        <v>0</v>
      </c>
      <c r="M44" s="106">
        <f>Fcast_TO!M103</f>
        <v>0</v>
      </c>
      <c r="N44" s="106">
        <f>Fcast_TO!N103</f>
        <v>-45</v>
      </c>
      <c r="O44" s="106">
        <f>Fcast_TO!O103</f>
        <v>0</v>
      </c>
      <c r="P44" s="106">
        <f>Fcast_TO!P103</f>
        <v>0</v>
      </c>
      <c r="Q44" s="106">
        <f>Fcast_TO!Q103</f>
        <v>0</v>
      </c>
    </row>
    <row r="45" spans="3:17">
      <c r="D45" s="6" t="str">
        <f>Fcast_TO!E128</f>
        <v>Equity Raisings</v>
      </c>
      <c r="J45" s="106">
        <f>Fcast_TO!J128</f>
        <v>0</v>
      </c>
      <c r="K45" s="106">
        <f>Fcast_TO!K128</f>
        <v>0</v>
      </c>
      <c r="L45" s="106">
        <f>Fcast_TO!L128</f>
        <v>0</v>
      </c>
      <c r="M45" s="106">
        <f>Fcast_TO!M128</f>
        <v>0</v>
      </c>
      <c r="N45" s="106">
        <f>Fcast_TO!N128</f>
        <v>0</v>
      </c>
      <c r="O45" s="106">
        <f>Fcast_TO!O128</f>
        <v>0</v>
      </c>
      <c r="P45" s="106">
        <f>Fcast_TO!P128</f>
        <v>0</v>
      </c>
      <c r="Q45" s="106">
        <f>Fcast_TO!Q128</f>
        <v>0</v>
      </c>
    </row>
    <row r="46" spans="3:17">
      <c r="D46" s="6" t="str">
        <f>Fcast_TO!E129</f>
        <v>Equity Repayments</v>
      </c>
      <c r="J46" s="106">
        <f>Fcast_TO!J129</f>
        <v>0</v>
      </c>
      <c r="K46" s="106">
        <f>Fcast_TO!K129</f>
        <v>0</v>
      </c>
      <c r="L46" s="106">
        <f>Fcast_TO!L129</f>
        <v>0</v>
      </c>
      <c r="M46" s="106">
        <f>Fcast_TO!M129</f>
        <v>0</v>
      </c>
      <c r="N46" s="106">
        <f>Fcast_TO!N129</f>
        <v>0</v>
      </c>
      <c r="O46" s="106">
        <f>Fcast_TO!O129</f>
        <v>0</v>
      </c>
      <c r="P46" s="106">
        <f>Fcast_TO!P129</f>
        <v>0</v>
      </c>
      <c r="Q46" s="106">
        <f>Fcast_TO!Q129</f>
        <v>0</v>
      </c>
    </row>
    <row r="47" spans="3:17">
      <c r="D47" s="6" t="str">
        <f>Fcast_TO!E136</f>
        <v>Dividends Paid During Period</v>
      </c>
      <c r="J47" s="106">
        <f>Fcast_TO!J136</f>
        <v>-14.918749999999999</v>
      </c>
      <c r="K47" s="106">
        <f>Fcast_TO!K136</f>
        <v>-15.32015625</v>
      </c>
      <c r="L47" s="106">
        <f>Fcast_TO!L136</f>
        <v>-15.731597656250003</v>
      </c>
      <c r="M47" s="106">
        <f>Fcast_TO!M136</f>
        <v>-16.153325097656253</v>
      </c>
      <c r="N47" s="106">
        <f>Fcast_TO!N136</f>
        <v>-16.528720725097664</v>
      </c>
      <c r="O47" s="106">
        <f>Fcast_TO!O136</f>
        <v>-16.914923118225101</v>
      </c>
      <c r="P47" s="106">
        <f>Fcast_TO!P136</f>
        <v>-17.369077446180725</v>
      </c>
      <c r="Q47" s="106">
        <f>Fcast_TO!Q136</f>
        <v>-17.834585632335237</v>
      </c>
    </row>
    <row r="48" spans="3:17">
      <c r="D48" s="148" t="str">
        <f>"Net "&amp;C41</f>
        <v>Net Cash Flow from Financing Activities</v>
      </c>
      <c r="J48" s="141">
        <f>SUM(J43:J47)</f>
        <v>-14.918749999999999</v>
      </c>
      <c r="K48" s="141">
        <f t="shared" ref="K48:Q48" si="12">SUM(K43:K47)</f>
        <v>-15.32015625</v>
      </c>
      <c r="L48" s="141">
        <f t="shared" si="12"/>
        <v>-15.731597656250003</v>
      </c>
      <c r="M48" s="141">
        <f t="shared" si="12"/>
        <v>-16.153325097656253</v>
      </c>
      <c r="N48" s="141">
        <f t="shared" si="12"/>
        <v>-11.528720725097664</v>
      </c>
      <c r="O48" s="141">
        <f t="shared" si="12"/>
        <v>-16.914923118225101</v>
      </c>
      <c r="P48" s="141">
        <f t="shared" si="12"/>
        <v>-17.369077446180725</v>
      </c>
      <c r="Q48" s="141">
        <f t="shared" si="12"/>
        <v>-17.834585632335237</v>
      </c>
    </row>
    <row r="49" spans="2:17">
      <c r="J49" s="106"/>
      <c r="K49" s="106"/>
      <c r="L49" s="106"/>
      <c r="M49" s="106"/>
      <c r="N49" s="106"/>
      <c r="O49" s="106"/>
      <c r="P49" s="106"/>
      <c r="Q49" s="106"/>
    </row>
    <row r="50" spans="2:17" ht="12" thickBot="1">
      <c r="C50" s="127" t="s">
        <v>253</v>
      </c>
      <c r="J50" s="142">
        <f t="shared" ref="J50:Q50" si="13">J31+J39+J48</f>
        <v>23.570976027397268</v>
      </c>
      <c r="K50" s="142">
        <f t="shared" si="13"/>
        <v>12.148336900684914</v>
      </c>
      <c r="L50" s="142">
        <f t="shared" si="13"/>
        <v>12.486971075503874</v>
      </c>
      <c r="M50" s="142">
        <f t="shared" si="13"/>
        <v>12.814444141480315</v>
      </c>
      <c r="N50" s="142">
        <f t="shared" si="13"/>
        <v>18.064268203626661</v>
      </c>
      <c r="O50" s="142">
        <f t="shared" si="13"/>
        <v>13.365078033717339</v>
      </c>
      <c r="P50" s="142">
        <f t="shared" si="13"/>
        <v>13.787616801088642</v>
      </c>
      <c r="Q50" s="142">
        <f t="shared" si="13"/>
        <v>14.149085792645895</v>
      </c>
    </row>
    <row r="51" spans="2:17" ht="11.25" thickTop="1"/>
    <row r="53" spans="2:17" ht="12.75">
      <c r="B53" s="126" t="s">
        <v>254</v>
      </c>
    </row>
    <row r="55" spans="2:17" ht="11.25">
      <c r="C55" s="113" t="str">
        <f>C18</f>
        <v>Cash Flow from Operating Activities</v>
      </c>
    </row>
    <row r="57" spans="2:17">
      <c r="D57" s="5" t="s">
        <v>207</v>
      </c>
      <c r="J57" s="106">
        <f>IS_TO!J39</f>
        <v>29.837499999999999</v>
      </c>
      <c r="K57" s="106">
        <f>IS_TO!K39</f>
        <v>30.6403125</v>
      </c>
      <c r="L57" s="106">
        <f>IS_TO!L39</f>
        <v>31.463195312500005</v>
      </c>
      <c r="M57" s="106">
        <f>IS_TO!M39</f>
        <v>32.306650195312507</v>
      </c>
      <c r="N57" s="106">
        <f>IS_TO!N39</f>
        <v>33.057441450195327</v>
      </c>
      <c r="O57" s="106">
        <f>IS_TO!O39</f>
        <v>33.829846236450202</v>
      </c>
      <c r="P57" s="106">
        <f>IS_TO!P39</f>
        <v>34.73815489236145</v>
      </c>
      <c r="Q57" s="106">
        <f>IS_TO!Q39</f>
        <v>35.669171264670474</v>
      </c>
    </row>
    <row r="58" spans="2:17">
      <c r="D58" s="5" t="s">
        <v>255</v>
      </c>
      <c r="J58" s="106">
        <f>-IS_TO!J37</f>
        <v>12.7875</v>
      </c>
      <c r="K58" s="106">
        <f>-IS_TO!K37</f>
        <v>13.131562499999999</v>
      </c>
      <c r="L58" s="106">
        <f>-IS_TO!L37</f>
        <v>13.4842265625</v>
      </c>
      <c r="M58" s="106">
        <f>-IS_TO!M37</f>
        <v>13.845707226562503</v>
      </c>
      <c r="N58" s="106">
        <f>-IS_TO!N37</f>
        <v>14.167474907226566</v>
      </c>
      <c r="O58" s="106">
        <f>-IS_TO!O37</f>
        <v>14.498505529907227</v>
      </c>
      <c r="P58" s="106">
        <f>-IS_TO!P37</f>
        <v>14.887780668154907</v>
      </c>
      <c r="Q58" s="106">
        <f>-IS_TO!Q37</f>
        <v>15.286787684858773</v>
      </c>
    </row>
    <row r="59" spans="2:17">
      <c r="D59" s="5" t="s">
        <v>256</v>
      </c>
      <c r="J59" s="106">
        <f>-IS_TO!J33</f>
        <v>3.25</v>
      </c>
      <c r="K59" s="106">
        <f>-IS_TO!K33</f>
        <v>3.25</v>
      </c>
      <c r="L59" s="106">
        <f>-IS_TO!L33</f>
        <v>3.25</v>
      </c>
      <c r="M59" s="106">
        <f>-IS_TO!M33</f>
        <v>3.25</v>
      </c>
      <c r="N59" s="106">
        <f>-IS_TO!N33</f>
        <v>3.4125000000000001</v>
      </c>
      <c r="O59" s="106">
        <f>-IS_TO!O33</f>
        <v>3.5750000000000002</v>
      </c>
      <c r="P59" s="106">
        <f>-IS_TO!P33</f>
        <v>3.5750000000000002</v>
      </c>
      <c r="Q59" s="106">
        <f>-IS_TO!Q33</f>
        <v>3.5750000000000002</v>
      </c>
    </row>
    <row r="60" spans="2:17">
      <c r="D60" s="5" t="s">
        <v>257</v>
      </c>
      <c r="J60" s="106">
        <f>-IS_TO!J29</f>
        <v>14.125</v>
      </c>
      <c r="K60" s="106">
        <f>-IS_TO!K29</f>
        <v>14.478124999999999</v>
      </c>
      <c r="L60" s="106">
        <f>-IS_TO!L29</f>
        <v>14.840078124999996</v>
      </c>
      <c r="M60" s="106">
        <f>-IS_TO!M29</f>
        <v>15.211080078124994</v>
      </c>
      <c r="N60" s="106">
        <f>-IS_TO!N29</f>
        <v>15.591357080078117</v>
      </c>
      <c r="O60" s="106">
        <f>-IS_TO!O29</f>
        <v>15.981141007080069</v>
      </c>
      <c r="P60" s="106">
        <f>-IS_TO!P29</f>
        <v>16.38066953225707</v>
      </c>
      <c r="Q60" s="106">
        <f>-IS_TO!Q29</f>
        <v>16.790186270563492</v>
      </c>
    </row>
    <row r="61" spans="2:17">
      <c r="D61" s="6" t="str">
        <f>E21</f>
        <v>Decrease in Accounts Receivable</v>
      </c>
      <c r="J61" s="106">
        <f t="shared" ref="J61:Q61" si="14">J21</f>
        <v>10.726027397260282</v>
      </c>
      <c r="K61" s="106">
        <f t="shared" si="14"/>
        <v>-0.25684931506850717</v>
      </c>
      <c r="L61" s="106">
        <f t="shared" si="14"/>
        <v>-0.23377849202785228</v>
      </c>
      <c r="M61" s="106">
        <f t="shared" si="14"/>
        <v>-0.29934436756118998</v>
      </c>
      <c r="N61" s="106">
        <f t="shared" si="14"/>
        <v>-0.27659861943493524</v>
      </c>
      <c r="O61" s="106">
        <f t="shared" si="14"/>
        <v>-0.28351358492079726</v>
      </c>
      <c r="P61" s="106">
        <f t="shared" si="14"/>
        <v>-0.25804771305121221</v>
      </c>
      <c r="Q61" s="106">
        <f t="shared" si="14"/>
        <v>-0.3304201716500188</v>
      </c>
    </row>
    <row r="62" spans="2:17">
      <c r="D62" s="6" t="str">
        <f>E25</f>
        <v>Increase in Accounts Payable</v>
      </c>
      <c r="J62" s="106">
        <f t="shared" ref="J62:Q62" si="15">J25</f>
        <v>-7.9863013698630141</v>
      </c>
      <c r="K62" s="106">
        <f t="shared" si="15"/>
        <v>0.20034246575342252</v>
      </c>
      <c r="L62" s="106">
        <f t="shared" si="15"/>
        <v>0.18234722378171853</v>
      </c>
      <c r="M62" s="106">
        <f t="shared" si="15"/>
        <v>0.2334886066977333</v>
      </c>
      <c r="N62" s="106">
        <f t="shared" si="15"/>
        <v>0.21574692315924437</v>
      </c>
      <c r="O62" s="106">
        <f t="shared" si="15"/>
        <v>0.22114059623822868</v>
      </c>
      <c r="P62" s="106">
        <f t="shared" si="15"/>
        <v>0.20127721617994609</v>
      </c>
      <c r="Q62" s="106">
        <f t="shared" si="15"/>
        <v>0.25772773388702319</v>
      </c>
    </row>
    <row r="63" spans="2:17">
      <c r="D63" s="6" t="str">
        <f>D27</f>
        <v>Interest Paid</v>
      </c>
      <c r="J63" s="106">
        <f t="shared" ref="J63:Q66" si="16">J27</f>
        <v>-3.25</v>
      </c>
      <c r="K63" s="106">
        <f t="shared" si="16"/>
        <v>-3.25</v>
      </c>
      <c r="L63" s="106">
        <f t="shared" si="16"/>
        <v>-3.25</v>
      </c>
      <c r="M63" s="106">
        <f t="shared" si="16"/>
        <v>-3.25</v>
      </c>
      <c r="N63" s="106">
        <f t="shared" si="16"/>
        <v>-3.4125000000000001</v>
      </c>
      <c r="O63" s="106">
        <f t="shared" si="16"/>
        <v>-3.5750000000000002</v>
      </c>
      <c r="P63" s="106">
        <f t="shared" si="16"/>
        <v>-3.5750000000000002</v>
      </c>
      <c r="Q63" s="106">
        <f t="shared" si="16"/>
        <v>-3.5750000000000002</v>
      </c>
    </row>
    <row r="64" spans="2:17">
      <c r="D64" s="6" t="str">
        <f>D28</f>
        <v>Tax Paid</v>
      </c>
      <c r="J64" s="106">
        <f t="shared" si="16"/>
        <v>-3.5</v>
      </c>
      <c r="K64" s="106">
        <f t="shared" si="16"/>
        <v>-12.7875</v>
      </c>
      <c r="L64" s="106">
        <f t="shared" si="16"/>
        <v>-13.131562499999999</v>
      </c>
      <c r="M64" s="106">
        <f t="shared" si="16"/>
        <v>-13.4842265625</v>
      </c>
      <c r="N64" s="106">
        <f t="shared" si="16"/>
        <v>-13.845707226562503</v>
      </c>
      <c r="O64" s="106">
        <f t="shared" si="16"/>
        <v>-14.167474907226566</v>
      </c>
      <c r="P64" s="106">
        <f t="shared" si="16"/>
        <v>-14.498505529907227</v>
      </c>
      <c r="Q64" s="106">
        <f t="shared" si="16"/>
        <v>-14.887780668154907</v>
      </c>
    </row>
    <row r="65" spans="3:17">
      <c r="D65" s="6" t="str">
        <f t="shared" ref="D65:D66" si="17">D29</f>
        <v>Decrease in Other Current Assets</v>
      </c>
      <c r="J65" s="106">
        <f t="shared" si="16"/>
        <v>-1</v>
      </c>
      <c r="K65" s="106">
        <f t="shared" si="16"/>
        <v>-1</v>
      </c>
      <c r="L65" s="106">
        <f t="shared" si="16"/>
        <v>-1</v>
      </c>
      <c r="M65" s="106">
        <f t="shared" si="16"/>
        <v>-1</v>
      </c>
      <c r="N65" s="106">
        <f t="shared" si="16"/>
        <v>-1</v>
      </c>
      <c r="O65" s="106">
        <f t="shared" si="16"/>
        <v>-1</v>
      </c>
      <c r="P65" s="106">
        <f t="shared" si="16"/>
        <v>-1</v>
      </c>
      <c r="Q65" s="106">
        <f t="shared" si="16"/>
        <v>-1</v>
      </c>
    </row>
    <row r="66" spans="3:17">
      <c r="D66" s="6" t="str">
        <f t="shared" si="17"/>
        <v>Increase in Other Current Liabilities</v>
      </c>
      <c r="J66" s="106">
        <f t="shared" si="16"/>
        <v>1</v>
      </c>
      <c r="K66" s="106">
        <f t="shared" si="16"/>
        <v>1</v>
      </c>
      <c r="L66" s="106">
        <f t="shared" si="16"/>
        <v>1</v>
      </c>
      <c r="M66" s="106">
        <f t="shared" si="16"/>
        <v>1</v>
      </c>
      <c r="N66" s="106">
        <f t="shared" si="16"/>
        <v>1</v>
      </c>
      <c r="O66" s="106">
        <f t="shared" si="16"/>
        <v>1</v>
      </c>
      <c r="P66" s="106">
        <f t="shared" si="16"/>
        <v>1</v>
      </c>
      <c r="Q66" s="106">
        <f t="shared" si="16"/>
        <v>1</v>
      </c>
    </row>
    <row r="67" spans="3:17">
      <c r="D67" s="118" t="str">
        <f>D31</f>
        <v>Net Cash Flow from Operating Activities</v>
      </c>
      <c r="J67" s="141">
        <f>SUM(J57:J66)</f>
        <v>55.989726027397268</v>
      </c>
      <c r="K67" s="141">
        <f t="shared" ref="K67:Q67" si="18">SUM(K57:K66)</f>
        <v>45.405993150684914</v>
      </c>
      <c r="L67" s="141">
        <f t="shared" si="18"/>
        <v>46.604506231753867</v>
      </c>
      <c r="M67" s="141">
        <f t="shared" si="18"/>
        <v>47.813355176636549</v>
      </c>
      <c r="N67" s="141">
        <f t="shared" si="18"/>
        <v>48.909714514661815</v>
      </c>
      <c r="O67" s="141">
        <f t="shared" si="18"/>
        <v>50.079644877528366</v>
      </c>
      <c r="P67" s="141">
        <f t="shared" si="18"/>
        <v>51.451329065994933</v>
      </c>
      <c r="Q67" s="141">
        <f t="shared" si="18"/>
        <v>52.785672114174844</v>
      </c>
    </row>
    <row r="69" spans="3:17" ht="11.25">
      <c r="C69" s="113" t="str">
        <f>C33</f>
        <v>Cash Flow from Investing Activities</v>
      </c>
    </row>
    <row r="71" spans="3:17">
      <c r="D71" s="6" t="str">
        <f>D35</f>
        <v>Capital Expenditure - Assets</v>
      </c>
      <c r="J71" s="106">
        <f t="shared" ref="J71:Q74" si="19">J35</f>
        <v>-15</v>
      </c>
      <c r="K71" s="106">
        <f t="shared" si="19"/>
        <v>-15.374999999999998</v>
      </c>
      <c r="L71" s="106">
        <f t="shared" si="19"/>
        <v>-15.759374999999997</v>
      </c>
      <c r="M71" s="106">
        <f t="shared" si="19"/>
        <v>-16.153359374999994</v>
      </c>
      <c r="N71" s="106">
        <f t="shared" si="19"/>
        <v>-16.557193359374992</v>
      </c>
      <c r="O71" s="106">
        <f t="shared" si="19"/>
        <v>-16.971123193359364</v>
      </c>
      <c r="P71" s="106">
        <f t="shared" si="19"/>
        <v>-17.395401273193347</v>
      </c>
      <c r="Q71" s="106">
        <f t="shared" si="19"/>
        <v>-17.830286305023179</v>
      </c>
    </row>
    <row r="72" spans="3:17">
      <c r="D72" s="6" t="str">
        <f>D36</f>
        <v>Capital Expenditure - Intangibles</v>
      </c>
      <c r="J72" s="106">
        <f t="shared" si="19"/>
        <v>-2.5</v>
      </c>
      <c r="K72" s="106">
        <f t="shared" si="19"/>
        <v>-2.5625</v>
      </c>
      <c r="L72" s="106">
        <f t="shared" si="19"/>
        <v>-2.6265624999999999</v>
      </c>
      <c r="M72" s="106">
        <f t="shared" si="19"/>
        <v>-2.6922265624999997</v>
      </c>
      <c r="N72" s="106">
        <f t="shared" si="19"/>
        <v>-2.7595322265624995</v>
      </c>
      <c r="O72" s="106">
        <f t="shared" si="19"/>
        <v>-2.8285205322265616</v>
      </c>
      <c r="P72" s="106">
        <f t="shared" si="19"/>
        <v>-2.8992335455322253</v>
      </c>
      <c r="Q72" s="106">
        <f t="shared" si="19"/>
        <v>-2.9717143841705309</v>
      </c>
    </row>
    <row r="73" spans="3:17">
      <c r="D73" s="6" t="str">
        <f t="shared" ref="D73:D74" si="20">D37</f>
        <v>Decrease in Other Non-Current Assets</v>
      </c>
      <c r="J73" s="106">
        <f t="shared" si="19"/>
        <v>-1</v>
      </c>
      <c r="K73" s="106">
        <f t="shared" si="19"/>
        <v>-1</v>
      </c>
      <c r="L73" s="106">
        <f t="shared" si="19"/>
        <v>-1</v>
      </c>
      <c r="M73" s="106">
        <f t="shared" si="19"/>
        <v>-1</v>
      </c>
      <c r="N73" s="106">
        <f t="shared" si="19"/>
        <v>-1</v>
      </c>
      <c r="O73" s="106">
        <f t="shared" si="19"/>
        <v>-1</v>
      </c>
      <c r="P73" s="106">
        <f t="shared" si="19"/>
        <v>-1</v>
      </c>
      <c r="Q73" s="106">
        <f t="shared" si="19"/>
        <v>-1</v>
      </c>
    </row>
    <row r="74" spans="3:17">
      <c r="D74" s="6" t="str">
        <f t="shared" si="20"/>
        <v>Increase in Other Non-Current Liabilities</v>
      </c>
      <c r="J74" s="106">
        <f t="shared" si="19"/>
        <v>1</v>
      </c>
      <c r="K74" s="106">
        <f t="shared" si="19"/>
        <v>1</v>
      </c>
      <c r="L74" s="106">
        <f t="shared" si="19"/>
        <v>1</v>
      </c>
      <c r="M74" s="106">
        <f t="shared" si="19"/>
        <v>1</v>
      </c>
      <c r="N74" s="106">
        <f t="shared" si="19"/>
        <v>1</v>
      </c>
      <c r="O74" s="106">
        <f t="shared" si="19"/>
        <v>1</v>
      </c>
      <c r="P74" s="106">
        <f t="shared" si="19"/>
        <v>1</v>
      </c>
      <c r="Q74" s="106">
        <f t="shared" si="19"/>
        <v>1</v>
      </c>
    </row>
    <row r="75" spans="3:17">
      <c r="D75" s="118" t="str">
        <f>D39</f>
        <v>Net Cash Flow from Investing Activities</v>
      </c>
      <c r="J75" s="141">
        <f>SUM(J71:J74)</f>
        <v>-17.5</v>
      </c>
      <c r="K75" s="141">
        <f t="shared" ref="K75:Q75" si="21">SUM(K71:K74)</f>
        <v>-17.9375</v>
      </c>
      <c r="L75" s="141">
        <f t="shared" si="21"/>
        <v>-18.385937499999997</v>
      </c>
      <c r="M75" s="141">
        <f t="shared" si="21"/>
        <v>-18.845585937499994</v>
      </c>
      <c r="N75" s="141">
        <f t="shared" si="21"/>
        <v>-19.31672558593749</v>
      </c>
      <c r="O75" s="141">
        <f t="shared" si="21"/>
        <v>-19.799643725585927</v>
      </c>
      <c r="P75" s="141">
        <f t="shared" si="21"/>
        <v>-20.294634818725573</v>
      </c>
      <c r="Q75" s="141">
        <f t="shared" si="21"/>
        <v>-20.802000689193711</v>
      </c>
    </row>
    <row r="77" spans="3:17" ht="11.25">
      <c r="C77" s="113" t="str">
        <f>C41</f>
        <v>Cash Flow from Financing Activities</v>
      </c>
    </row>
    <row r="79" spans="3:17">
      <c r="D79" s="6" t="str">
        <f>D43</f>
        <v>Debt Drawdowns</v>
      </c>
      <c r="J79" s="106">
        <f>J43</f>
        <v>0</v>
      </c>
      <c r="K79" s="106">
        <f t="shared" ref="K79:Q79" si="22">K43</f>
        <v>0</v>
      </c>
      <c r="L79" s="106">
        <f t="shared" si="22"/>
        <v>0</v>
      </c>
      <c r="M79" s="106">
        <f t="shared" si="22"/>
        <v>0</v>
      </c>
      <c r="N79" s="106">
        <f t="shared" si="22"/>
        <v>50</v>
      </c>
      <c r="O79" s="106">
        <f t="shared" si="22"/>
        <v>0</v>
      </c>
      <c r="P79" s="106">
        <f t="shared" si="22"/>
        <v>0</v>
      </c>
      <c r="Q79" s="106">
        <f t="shared" si="22"/>
        <v>0</v>
      </c>
    </row>
    <row r="80" spans="3:17">
      <c r="D80" s="6" t="str">
        <f t="shared" ref="D80:D83" si="23">D44</f>
        <v>Debt Repayments</v>
      </c>
      <c r="J80" s="106">
        <f t="shared" ref="J80:Q83" si="24">J44</f>
        <v>0</v>
      </c>
      <c r="K80" s="106">
        <f t="shared" si="24"/>
        <v>0</v>
      </c>
      <c r="L80" s="106">
        <f t="shared" si="24"/>
        <v>0</v>
      </c>
      <c r="M80" s="106">
        <f t="shared" si="24"/>
        <v>0</v>
      </c>
      <c r="N80" s="106">
        <f t="shared" si="24"/>
        <v>-45</v>
      </c>
      <c r="O80" s="106">
        <f t="shared" si="24"/>
        <v>0</v>
      </c>
      <c r="P80" s="106">
        <f t="shared" si="24"/>
        <v>0</v>
      </c>
      <c r="Q80" s="106">
        <f t="shared" si="24"/>
        <v>0</v>
      </c>
    </row>
    <row r="81" spans="2:17">
      <c r="D81" s="6" t="str">
        <f t="shared" si="23"/>
        <v>Equity Raisings</v>
      </c>
      <c r="J81" s="106">
        <f t="shared" si="24"/>
        <v>0</v>
      </c>
      <c r="K81" s="106">
        <f t="shared" si="24"/>
        <v>0</v>
      </c>
      <c r="L81" s="106">
        <f t="shared" si="24"/>
        <v>0</v>
      </c>
      <c r="M81" s="106">
        <f t="shared" si="24"/>
        <v>0</v>
      </c>
      <c r="N81" s="106">
        <f t="shared" si="24"/>
        <v>0</v>
      </c>
      <c r="O81" s="106">
        <f t="shared" si="24"/>
        <v>0</v>
      </c>
      <c r="P81" s="106">
        <f t="shared" si="24"/>
        <v>0</v>
      </c>
      <c r="Q81" s="106">
        <f t="shared" si="24"/>
        <v>0</v>
      </c>
    </row>
    <row r="82" spans="2:17">
      <c r="D82" s="6" t="str">
        <f t="shared" si="23"/>
        <v>Equity Repayments</v>
      </c>
      <c r="J82" s="106">
        <f t="shared" si="24"/>
        <v>0</v>
      </c>
      <c r="K82" s="106">
        <f t="shared" si="24"/>
        <v>0</v>
      </c>
      <c r="L82" s="106">
        <f t="shared" si="24"/>
        <v>0</v>
      </c>
      <c r="M82" s="106">
        <f t="shared" si="24"/>
        <v>0</v>
      </c>
      <c r="N82" s="106">
        <f t="shared" si="24"/>
        <v>0</v>
      </c>
      <c r="O82" s="106">
        <f t="shared" si="24"/>
        <v>0</v>
      </c>
      <c r="P82" s="106">
        <f t="shared" si="24"/>
        <v>0</v>
      </c>
      <c r="Q82" s="106">
        <f t="shared" si="24"/>
        <v>0</v>
      </c>
    </row>
    <row r="83" spans="2:17">
      <c r="D83" s="6" t="str">
        <f t="shared" si="23"/>
        <v>Dividends Paid During Period</v>
      </c>
      <c r="J83" s="106">
        <f t="shared" si="24"/>
        <v>-14.918749999999999</v>
      </c>
      <c r="K83" s="106">
        <f t="shared" si="24"/>
        <v>-15.32015625</v>
      </c>
      <c r="L83" s="106">
        <f t="shared" si="24"/>
        <v>-15.731597656250003</v>
      </c>
      <c r="M83" s="106">
        <f t="shared" si="24"/>
        <v>-16.153325097656253</v>
      </c>
      <c r="N83" s="106">
        <f t="shared" si="24"/>
        <v>-16.528720725097664</v>
      </c>
      <c r="O83" s="106">
        <f t="shared" si="24"/>
        <v>-16.914923118225101</v>
      </c>
      <c r="P83" s="106">
        <f t="shared" si="24"/>
        <v>-17.369077446180725</v>
      </c>
      <c r="Q83" s="106">
        <f t="shared" si="24"/>
        <v>-17.834585632335237</v>
      </c>
    </row>
    <row r="84" spans="2:17">
      <c r="D84" s="118" t="str">
        <f>D48</f>
        <v>Net Cash Flow from Financing Activities</v>
      </c>
      <c r="J84" s="141">
        <f t="shared" ref="J84:Q84" si="25">SUM(J77:J83)</f>
        <v>-14.918749999999999</v>
      </c>
      <c r="K84" s="141">
        <f t="shared" si="25"/>
        <v>-15.32015625</v>
      </c>
      <c r="L84" s="141">
        <f t="shared" si="25"/>
        <v>-15.731597656250003</v>
      </c>
      <c r="M84" s="141">
        <f t="shared" si="25"/>
        <v>-16.153325097656253</v>
      </c>
      <c r="N84" s="141">
        <f t="shared" si="25"/>
        <v>-11.528720725097664</v>
      </c>
      <c r="O84" s="141">
        <f t="shared" si="25"/>
        <v>-16.914923118225101</v>
      </c>
      <c r="P84" s="141">
        <f t="shared" si="25"/>
        <v>-17.369077446180725</v>
      </c>
      <c r="Q84" s="141">
        <f t="shared" si="25"/>
        <v>-17.834585632335237</v>
      </c>
    </row>
    <row r="86" spans="2:17" ht="12" thickBot="1">
      <c r="C86" s="113" t="str">
        <f>C50</f>
        <v>Net Increase / (Decrease) in Cash Held</v>
      </c>
      <c r="J86" s="142">
        <f t="shared" ref="J86:Q86" si="26">J67+J75+J84</f>
        <v>23.570976027397268</v>
      </c>
      <c r="K86" s="142">
        <f t="shared" si="26"/>
        <v>12.148336900684914</v>
      </c>
      <c r="L86" s="142">
        <f t="shared" si="26"/>
        <v>12.486971075503867</v>
      </c>
      <c r="M86" s="142">
        <f t="shared" si="26"/>
        <v>12.814444141480301</v>
      </c>
      <c r="N86" s="142">
        <f t="shared" si="26"/>
        <v>18.064268203626661</v>
      </c>
      <c r="O86" s="142">
        <f t="shared" si="26"/>
        <v>13.365078033717339</v>
      </c>
      <c r="P86" s="142">
        <f t="shared" si="26"/>
        <v>13.787616801088635</v>
      </c>
      <c r="Q86" s="142">
        <f t="shared" si="26"/>
        <v>14.149085792645895</v>
      </c>
    </row>
    <row r="87" spans="2:17" ht="11.25" thickTop="1"/>
    <row r="89" spans="2:17" ht="12.75">
      <c r="B89" s="126" t="s">
        <v>258</v>
      </c>
    </row>
    <row r="91" spans="2:17">
      <c r="D91" s="6" t="str">
        <f>$D$31</f>
        <v>Net Cash Flow from Operating Activities</v>
      </c>
      <c r="J91" s="106">
        <f t="shared" ref="J91:Q91" si="27">J$31</f>
        <v>55.989726027397268</v>
      </c>
      <c r="K91" s="106">
        <f t="shared" si="27"/>
        <v>45.405993150684914</v>
      </c>
      <c r="L91" s="106">
        <f t="shared" si="27"/>
        <v>46.604506231753874</v>
      </c>
      <c r="M91" s="106">
        <f t="shared" si="27"/>
        <v>47.813355176636563</v>
      </c>
      <c r="N91" s="106">
        <f t="shared" si="27"/>
        <v>48.909714514661815</v>
      </c>
      <c r="O91" s="106">
        <f t="shared" si="27"/>
        <v>50.079644877528366</v>
      </c>
      <c r="P91" s="106">
        <f t="shared" si="27"/>
        <v>51.45132906599494</v>
      </c>
      <c r="Q91" s="106">
        <f t="shared" si="27"/>
        <v>52.785672114174844</v>
      </c>
    </row>
    <row r="92" spans="2:17">
      <c r="D92" s="6" t="str">
        <f>$D$39</f>
        <v>Net Cash Flow from Investing Activities</v>
      </c>
      <c r="J92" s="106">
        <f t="shared" ref="J92:Q92" si="28">J$39</f>
        <v>-17.5</v>
      </c>
      <c r="K92" s="106">
        <f t="shared" si="28"/>
        <v>-17.9375</v>
      </c>
      <c r="L92" s="106">
        <f t="shared" si="28"/>
        <v>-18.385937499999997</v>
      </c>
      <c r="M92" s="106">
        <f t="shared" si="28"/>
        <v>-18.845585937499994</v>
      </c>
      <c r="N92" s="106">
        <f t="shared" si="28"/>
        <v>-19.31672558593749</v>
      </c>
      <c r="O92" s="106">
        <f t="shared" si="28"/>
        <v>-19.799643725585927</v>
      </c>
      <c r="P92" s="106">
        <f t="shared" si="28"/>
        <v>-20.294634818725573</v>
      </c>
      <c r="Q92" s="106">
        <f t="shared" si="28"/>
        <v>-20.802000689193711</v>
      </c>
    </row>
    <row r="93" spans="2:17">
      <c r="D93" s="132" t="str">
        <f>"(Add Back) "&amp;$D$27</f>
        <v>(Add Back) Interest Paid</v>
      </c>
      <c r="J93" s="128">
        <f t="shared" ref="J93:Q93" si="29">-J$27</f>
        <v>3.25</v>
      </c>
      <c r="K93" s="128">
        <f t="shared" si="29"/>
        <v>3.25</v>
      </c>
      <c r="L93" s="128">
        <f t="shared" si="29"/>
        <v>3.25</v>
      </c>
      <c r="M93" s="128">
        <f t="shared" si="29"/>
        <v>3.25</v>
      </c>
      <c r="N93" s="128">
        <f t="shared" si="29"/>
        <v>3.4125000000000001</v>
      </c>
      <c r="O93" s="128">
        <f t="shared" si="29"/>
        <v>3.5750000000000002</v>
      </c>
      <c r="P93" s="128">
        <f t="shared" si="29"/>
        <v>3.5750000000000002</v>
      </c>
      <c r="Q93" s="128">
        <f t="shared" si="29"/>
        <v>3.5750000000000002</v>
      </c>
    </row>
    <row r="94" spans="2:17">
      <c r="D94" s="134" t="s">
        <v>259</v>
      </c>
      <c r="J94" s="129">
        <f t="shared" ref="J94:Q94" si="30">SUM(J91:J93)</f>
        <v>41.739726027397268</v>
      </c>
      <c r="K94" s="129">
        <f t="shared" si="30"/>
        <v>30.718493150684914</v>
      </c>
      <c r="L94" s="129">
        <f t="shared" si="30"/>
        <v>31.468568731753876</v>
      </c>
      <c r="M94" s="129">
        <f t="shared" si="30"/>
        <v>32.217769239136572</v>
      </c>
      <c r="N94" s="129">
        <f t="shared" si="30"/>
        <v>33.005488928724326</v>
      </c>
      <c r="O94" s="129">
        <f t="shared" si="30"/>
        <v>33.855001151942439</v>
      </c>
      <c r="P94" s="129">
        <f t="shared" si="30"/>
        <v>34.731694247269367</v>
      </c>
      <c r="Q94" s="129">
        <f t="shared" si="30"/>
        <v>35.558671424981135</v>
      </c>
    </row>
    <row r="95" spans="2:17">
      <c r="D95" s="6" t="str">
        <f>$D$27</f>
        <v>Interest Paid</v>
      </c>
      <c r="J95" s="106">
        <f t="shared" ref="J95:Q95" si="31">J$27</f>
        <v>-3.25</v>
      </c>
      <c r="K95" s="106">
        <f t="shared" si="31"/>
        <v>-3.25</v>
      </c>
      <c r="L95" s="106">
        <f t="shared" si="31"/>
        <v>-3.25</v>
      </c>
      <c r="M95" s="106">
        <f t="shared" si="31"/>
        <v>-3.25</v>
      </c>
      <c r="N95" s="106">
        <f t="shared" si="31"/>
        <v>-3.4125000000000001</v>
      </c>
      <c r="O95" s="106">
        <f t="shared" si="31"/>
        <v>-3.5750000000000002</v>
      </c>
      <c r="P95" s="106">
        <f t="shared" si="31"/>
        <v>-3.5750000000000002</v>
      </c>
      <c r="Q95" s="106">
        <f t="shared" si="31"/>
        <v>-3.5750000000000002</v>
      </c>
    </row>
    <row r="96" spans="2:17">
      <c r="D96" s="6" t="str">
        <f>D43</f>
        <v>Debt Drawdowns</v>
      </c>
      <c r="J96" s="106">
        <f>J43</f>
        <v>0</v>
      </c>
      <c r="K96" s="106">
        <f t="shared" ref="K96:Q97" si="32">K43</f>
        <v>0</v>
      </c>
      <c r="L96" s="106">
        <f t="shared" si="32"/>
        <v>0</v>
      </c>
      <c r="M96" s="106">
        <f t="shared" si="32"/>
        <v>0</v>
      </c>
      <c r="N96" s="106">
        <f t="shared" si="32"/>
        <v>50</v>
      </c>
      <c r="O96" s="106">
        <f t="shared" si="32"/>
        <v>0</v>
      </c>
      <c r="P96" s="106">
        <f t="shared" si="32"/>
        <v>0</v>
      </c>
      <c r="Q96" s="106">
        <f t="shared" si="32"/>
        <v>0</v>
      </c>
    </row>
    <row r="97" spans="4:17">
      <c r="D97" s="6" t="str">
        <f>D44</f>
        <v>Debt Repayments</v>
      </c>
      <c r="J97" s="128">
        <f>J44</f>
        <v>0</v>
      </c>
      <c r="K97" s="128">
        <f t="shared" si="32"/>
        <v>0</v>
      </c>
      <c r="L97" s="128">
        <f t="shared" si="32"/>
        <v>0</v>
      </c>
      <c r="M97" s="128">
        <f t="shared" si="32"/>
        <v>0</v>
      </c>
      <c r="N97" s="128">
        <f t="shared" si="32"/>
        <v>-45</v>
      </c>
      <c r="O97" s="128">
        <f t="shared" si="32"/>
        <v>0</v>
      </c>
      <c r="P97" s="128">
        <f t="shared" si="32"/>
        <v>0</v>
      </c>
      <c r="Q97" s="128">
        <f t="shared" si="32"/>
        <v>0</v>
      </c>
    </row>
    <row r="98" spans="4:17">
      <c r="D98" s="134" t="s">
        <v>260</v>
      </c>
      <c r="J98" s="129">
        <f t="shared" ref="J98:Q98" si="33">SUM(J94:J97)</f>
        <v>38.489726027397268</v>
      </c>
      <c r="K98" s="129">
        <f t="shared" si="33"/>
        <v>27.468493150684914</v>
      </c>
      <c r="L98" s="129">
        <f t="shared" si="33"/>
        <v>28.218568731753876</v>
      </c>
      <c r="M98" s="129">
        <f t="shared" si="33"/>
        <v>28.967769239136572</v>
      </c>
      <c r="N98" s="129">
        <f t="shared" si="33"/>
        <v>34.592988928724324</v>
      </c>
      <c r="O98" s="129">
        <f t="shared" si="33"/>
        <v>30.280001151942439</v>
      </c>
      <c r="P98" s="129">
        <f t="shared" si="33"/>
        <v>31.156694247269368</v>
      </c>
      <c r="Q98" s="129">
        <f t="shared" si="33"/>
        <v>31.983671424981136</v>
      </c>
    </row>
    <row r="99" spans="4:17">
      <c r="D99" s="6" t="str">
        <f>D45</f>
        <v>Equity Raisings</v>
      </c>
      <c r="J99" s="106">
        <f>J45</f>
        <v>0</v>
      </c>
      <c r="K99" s="106">
        <f t="shared" ref="K99:Q100" si="34">K45</f>
        <v>0</v>
      </c>
      <c r="L99" s="106">
        <f t="shared" si="34"/>
        <v>0</v>
      </c>
      <c r="M99" s="106">
        <f t="shared" si="34"/>
        <v>0</v>
      </c>
      <c r="N99" s="106">
        <f t="shared" si="34"/>
        <v>0</v>
      </c>
      <c r="O99" s="106">
        <f t="shared" si="34"/>
        <v>0</v>
      </c>
      <c r="P99" s="106">
        <f t="shared" si="34"/>
        <v>0</v>
      </c>
      <c r="Q99" s="106">
        <f t="shared" si="34"/>
        <v>0</v>
      </c>
    </row>
    <row r="100" spans="4:17">
      <c r="D100" s="6" t="str">
        <f>D46</f>
        <v>Equity Repayments</v>
      </c>
      <c r="J100" s="106">
        <f>J46</f>
        <v>0</v>
      </c>
      <c r="K100" s="106">
        <f t="shared" si="34"/>
        <v>0</v>
      </c>
      <c r="L100" s="106">
        <f t="shared" si="34"/>
        <v>0</v>
      </c>
      <c r="M100" s="106">
        <f t="shared" si="34"/>
        <v>0</v>
      </c>
      <c r="N100" s="106">
        <f t="shared" si="34"/>
        <v>0</v>
      </c>
      <c r="O100" s="106">
        <f t="shared" si="34"/>
        <v>0</v>
      </c>
      <c r="P100" s="106">
        <f t="shared" si="34"/>
        <v>0</v>
      </c>
      <c r="Q100" s="106">
        <f t="shared" si="34"/>
        <v>0</v>
      </c>
    </row>
    <row r="101" spans="4:17">
      <c r="D101" s="134" t="s">
        <v>184</v>
      </c>
      <c r="J101" s="141">
        <f t="shared" ref="J101:Q101" si="35">SUM(J98:J100)</f>
        <v>38.489726027397268</v>
      </c>
      <c r="K101" s="141">
        <f t="shared" si="35"/>
        <v>27.468493150684914</v>
      </c>
      <c r="L101" s="141">
        <f t="shared" si="35"/>
        <v>28.218568731753876</v>
      </c>
      <c r="M101" s="141">
        <f t="shared" si="35"/>
        <v>28.967769239136572</v>
      </c>
      <c r="N101" s="141">
        <f t="shared" si="35"/>
        <v>34.592988928724324</v>
      </c>
      <c r="O101" s="141">
        <f t="shared" si="35"/>
        <v>30.280001151942439</v>
      </c>
      <c r="P101" s="141">
        <f t="shared" si="35"/>
        <v>31.156694247269368</v>
      </c>
      <c r="Q101" s="141">
        <f t="shared" si="35"/>
        <v>31.983671424981136</v>
      </c>
    </row>
    <row r="102" spans="4:17">
      <c r="D102" s="6" t="str">
        <f>$D$47</f>
        <v>Dividends Paid During Period</v>
      </c>
      <c r="J102" s="106">
        <f t="shared" ref="J102:Q102" si="36">J$47</f>
        <v>-14.918749999999999</v>
      </c>
      <c r="K102" s="106">
        <f t="shared" si="36"/>
        <v>-15.32015625</v>
      </c>
      <c r="L102" s="106">
        <f t="shared" si="36"/>
        <v>-15.731597656250003</v>
      </c>
      <c r="M102" s="106">
        <f t="shared" si="36"/>
        <v>-16.153325097656253</v>
      </c>
      <c r="N102" s="106">
        <f t="shared" si="36"/>
        <v>-16.528720725097664</v>
      </c>
      <c r="O102" s="106">
        <f t="shared" si="36"/>
        <v>-16.914923118225101</v>
      </c>
      <c r="P102" s="106">
        <f t="shared" si="36"/>
        <v>-17.369077446180725</v>
      </c>
      <c r="Q102" s="106">
        <f t="shared" si="36"/>
        <v>-17.834585632335237</v>
      </c>
    </row>
    <row r="103" spans="4:17" ht="11.25" thickBot="1">
      <c r="D103" s="118" t="str">
        <f>$C$50</f>
        <v>Net Increase / (Decrease) in Cash Held</v>
      </c>
      <c r="J103" s="142">
        <f t="shared" ref="J103:Q103" si="37">SUM(J101:J102)</f>
        <v>23.570976027397268</v>
      </c>
      <c r="K103" s="142">
        <f t="shared" si="37"/>
        <v>12.148336900684914</v>
      </c>
      <c r="L103" s="142">
        <f t="shared" si="37"/>
        <v>12.486971075503874</v>
      </c>
      <c r="M103" s="142">
        <f t="shared" si="37"/>
        <v>12.814444141480319</v>
      </c>
      <c r="N103" s="142">
        <f t="shared" si="37"/>
        <v>18.064268203626661</v>
      </c>
      <c r="O103" s="142">
        <f t="shared" si="37"/>
        <v>13.365078033717339</v>
      </c>
      <c r="P103" s="142">
        <f t="shared" si="37"/>
        <v>13.787616801088642</v>
      </c>
      <c r="Q103" s="142">
        <f t="shared" si="37"/>
        <v>14.149085792645899</v>
      </c>
    </row>
    <row r="104" spans="4:17" ht="11.25" thickTop="1"/>
    <row r="105" spans="4:17" hidden="1" outlineLevel="2">
      <c r="E105" s="5" t="s">
        <v>261</v>
      </c>
      <c r="J105" s="133">
        <f t="shared" ref="J105:Q105" si="38">IF(ISERROR(J31+J39+J48-J50),1,0)</f>
        <v>0</v>
      </c>
      <c r="K105" s="133">
        <f t="shared" si="38"/>
        <v>0</v>
      </c>
      <c r="L105" s="133">
        <f t="shared" si="38"/>
        <v>0</v>
      </c>
      <c r="M105" s="133">
        <f t="shared" si="38"/>
        <v>0</v>
      </c>
      <c r="N105" s="133">
        <f t="shared" si="38"/>
        <v>0</v>
      </c>
      <c r="O105" s="133">
        <f t="shared" si="38"/>
        <v>0</v>
      </c>
      <c r="P105" s="133">
        <f t="shared" si="38"/>
        <v>0</v>
      </c>
      <c r="Q105" s="133">
        <f t="shared" si="38"/>
        <v>0</v>
      </c>
    </row>
    <row r="106" spans="4:17" hidden="1" outlineLevel="2">
      <c r="E106" s="5" t="s">
        <v>262</v>
      </c>
      <c r="J106" s="133">
        <f t="shared" ref="J106:Q106" si="39">IF(ISERROR(J67+J75+J84-J86),1,0)</f>
        <v>0</v>
      </c>
      <c r="K106" s="133">
        <f t="shared" si="39"/>
        <v>0</v>
      </c>
      <c r="L106" s="133">
        <f t="shared" si="39"/>
        <v>0</v>
      </c>
      <c r="M106" s="133">
        <f t="shared" si="39"/>
        <v>0</v>
      </c>
      <c r="N106" s="133">
        <f t="shared" si="39"/>
        <v>0</v>
      </c>
      <c r="O106" s="133">
        <f t="shared" si="39"/>
        <v>0</v>
      </c>
      <c r="P106" s="133">
        <f t="shared" si="39"/>
        <v>0</v>
      </c>
      <c r="Q106" s="133">
        <f t="shared" si="39"/>
        <v>0</v>
      </c>
    </row>
    <row r="107" spans="4:17" hidden="1" outlineLevel="2">
      <c r="E107" s="5" t="s">
        <v>263</v>
      </c>
      <c r="J107" s="152">
        <f t="shared" ref="J107:Q107" si="40">IF(J105&lt;&gt;0,0,IF(ROUND(J31+J39+J48-J50,5)&lt;&gt;0,1,0))</f>
        <v>0</v>
      </c>
      <c r="K107" s="152">
        <f t="shared" si="40"/>
        <v>0</v>
      </c>
      <c r="L107" s="152">
        <f t="shared" si="40"/>
        <v>0</v>
      </c>
      <c r="M107" s="152">
        <f t="shared" si="40"/>
        <v>0</v>
      </c>
      <c r="N107" s="152">
        <f t="shared" si="40"/>
        <v>0</v>
      </c>
      <c r="O107" s="152">
        <f t="shared" si="40"/>
        <v>0</v>
      </c>
      <c r="P107" s="152">
        <f t="shared" si="40"/>
        <v>0</v>
      </c>
      <c r="Q107" s="152">
        <f t="shared" si="40"/>
        <v>0</v>
      </c>
    </row>
    <row r="108" spans="4:17" hidden="1" outlineLevel="2">
      <c r="E108" s="5" t="s">
        <v>264</v>
      </c>
      <c r="J108" s="152">
        <f t="shared" ref="J108:Q108" si="41">IF(J106&lt;&gt;0,0,IF(ROUND(J67+J75+J84-J86,5)&lt;&gt;0,1,0))</f>
        <v>0</v>
      </c>
      <c r="K108" s="152">
        <f t="shared" si="41"/>
        <v>0</v>
      </c>
      <c r="L108" s="152">
        <f t="shared" si="41"/>
        <v>0</v>
      </c>
      <c r="M108" s="152">
        <f t="shared" si="41"/>
        <v>0</v>
      </c>
      <c r="N108" s="152">
        <f t="shared" si="41"/>
        <v>0</v>
      </c>
      <c r="O108" s="152">
        <f t="shared" si="41"/>
        <v>0</v>
      </c>
      <c r="P108" s="152">
        <f t="shared" si="41"/>
        <v>0</v>
      </c>
      <c r="Q108" s="152">
        <f t="shared" si="41"/>
        <v>0</v>
      </c>
    </row>
    <row r="109" spans="4:17" hidden="1" outlineLevel="2">
      <c r="E109" s="5" t="s">
        <v>265</v>
      </c>
      <c r="J109" s="152">
        <f t="shared" ref="J109:Q109" si="42">IF(OR(J105&lt;&gt;0,J106&lt;&gt;0),0,IF(ROUND(J50-J86,5)&lt;&gt;0,1,0))</f>
        <v>0</v>
      </c>
      <c r="K109" s="152">
        <f t="shared" si="42"/>
        <v>0</v>
      </c>
      <c r="L109" s="152">
        <f t="shared" si="42"/>
        <v>0</v>
      </c>
      <c r="M109" s="152">
        <f t="shared" si="42"/>
        <v>0</v>
      </c>
      <c r="N109" s="152">
        <f t="shared" si="42"/>
        <v>0</v>
      </c>
      <c r="O109" s="152">
        <f t="shared" si="42"/>
        <v>0</v>
      </c>
      <c r="P109" s="152">
        <f t="shared" si="42"/>
        <v>0</v>
      </c>
      <c r="Q109" s="152">
        <f t="shared" si="42"/>
        <v>0</v>
      </c>
    </row>
    <row r="110" spans="4:17" hidden="1" outlineLevel="2">
      <c r="E110" s="5" t="s">
        <v>266</v>
      </c>
      <c r="J110" s="122">
        <f t="shared" ref="J110:Q110" si="43">IF(J105&lt;&gt;0,0,IF(ROUND(J86-J103,5)&lt;&gt;0,1,0))</f>
        <v>0</v>
      </c>
      <c r="K110" s="122">
        <f t="shared" si="43"/>
        <v>0</v>
      </c>
      <c r="L110" s="122">
        <f t="shared" si="43"/>
        <v>0</v>
      </c>
      <c r="M110" s="122">
        <f t="shared" si="43"/>
        <v>0</v>
      </c>
      <c r="N110" s="122">
        <f t="shared" si="43"/>
        <v>0</v>
      </c>
      <c r="O110" s="122">
        <f t="shared" si="43"/>
        <v>0</v>
      </c>
      <c r="P110" s="122">
        <f t="shared" si="43"/>
        <v>0</v>
      </c>
      <c r="Q110" s="122">
        <f t="shared" si="43"/>
        <v>0</v>
      </c>
    </row>
    <row r="111" spans="4:17" collapsed="1">
      <c r="D111" s="5" t="s">
        <v>164</v>
      </c>
      <c r="I111" s="123">
        <f>IF(ISERROR(SUM(J111:Q111)),0,MIN(SUM(J111:Q111),1))</f>
        <v>0</v>
      </c>
      <c r="J111" s="120">
        <f t="shared" ref="J111:Q111" si="44">MIN(SUM(J105:J110),1)</f>
        <v>0</v>
      </c>
      <c r="K111" s="120">
        <f t="shared" si="44"/>
        <v>0</v>
      </c>
      <c r="L111" s="120">
        <f t="shared" si="44"/>
        <v>0</v>
      </c>
      <c r="M111" s="120">
        <f t="shared" si="44"/>
        <v>0</v>
      </c>
      <c r="N111" s="120">
        <f t="shared" si="44"/>
        <v>0</v>
      </c>
      <c r="O111" s="120">
        <f t="shared" si="44"/>
        <v>0</v>
      </c>
      <c r="P111" s="120">
        <f t="shared" si="44"/>
        <v>0</v>
      </c>
      <c r="Q111" s="120">
        <f t="shared" si="44"/>
        <v>0</v>
      </c>
    </row>
    <row r="113" spans="3:9">
      <c r="C113" s="134" t="s">
        <v>32</v>
      </c>
    </row>
    <row r="114" spans="3:9">
      <c r="C114" s="109">
        <v>1</v>
      </c>
      <c r="D114" s="132" t="str">
        <f>"All values are stated in "&amp;INDEX(LU_Denom,DD_TS_Denom)&amp;" unless stated otherwise."</f>
        <v>All values are stated in $Millions unless stated otherwise.</v>
      </c>
    </row>
    <row r="116" spans="3:9">
      <c r="C116" s="8" t="str">
        <f>"Go to "&amp;Err_Chk_11_Hdg</f>
        <v>Go to Income Statement</v>
      </c>
      <c r="D116" s="147"/>
      <c r="E116" s="147"/>
      <c r="F116" s="147"/>
      <c r="G116" s="147"/>
      <c r="H116" s="147"/>
      <c r="I116" s="147"/>
    </row>
    <row r="117" spans="3:9">
      <c r="C117" s="8" t="str">
        <f>"Go to "&amp;BS_TO!$B$1</f>
        <v>Go to Balance Sheet</v>
      </c>
      <c r="D117" s="147"/>
      <c r="E117" s="147"/>
      <c r="F117" s="147"/>
      <c r="G117" s="147"/>
      <c r="H117" s="147"/>
      <c r="I117" s="147"/>
    </row>
  </sheetData>
  <mergeCells count="1">
    <mergeCell ref="B3:F3"/>
  </mergeCells>
  <conditionalFormatting sqref="J105:Q111 I111">
    <cfRule type="cellIs" dxfId="36" priority="2" stopIfTrue="1" operator="notEqual">
      <formula>0</formula>
    </cfRule>
  </conditionalFormatting>
  <conditionalFormatting sqref="D111">
    <cfRule type="expression" dxfId="35" priority="1" stopIfTrue="1">
      <formula>I111&lt;&gt;0</formula>
    </cfRule>
  </conditionalFormatting>
  <hyperlinks>
    <hyperlink ref="C116:I116" location="HL_Sheet_Main_35" tooltip="Go to Income Statement" display="HL_Sheet_Main_35"/>
    <hyperlink ref="C117:I117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36" tooltip="Go to Previous Sheet" display="HL_Sheet_Main_36"/>
    <hyperlink ref="C4" location="HL_Sheet_Main_20" tooltip="Go to Next Sheet" display="HL_Sheet_Main_2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r:id="rId1"/>
  <headerFooter>
    <oddFooter>&amp;L&amp;F
&amp;A
Printed: &amp;T on &amp;D&amp;CPage &amp;P of &amp;N&amp;R&amp;G</oddFooter>
  </headerFooter>
  <rowBreaks count="2" manualBreakCount="2">
    <brk id="52" min="1" max="16" man="1"/>
    <brk id="88" min="1" max="16" man="1"/>
  </rowBreaks>
  <legacy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267</v>
      </c>
    </row>
    <row r="10" spans="3:7" ht="16.5">
      <c r="C10" s="12" t="s">
        <v>268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269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37" tooltip="Go to Previous Sheet" display="HL_Sheet_Main_37"/>
    <hyperlink ref="D13" location="HL_Sheet_Main_19" tooltip="Go to Next Sheet" display="HL_Sheet_Main_1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A1:BE64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2.33203125" defaultRowHeight="10.5"/>
  <cols>
    <col min="1" max="1" width="3.83203125" style="16" customWidth="1"/>
    <col min="2" max="11" width="2.5" style="16" customWidth="1"/>
    <col min="12" max="19" width="11.83203125" style="16" customWidth="1"/>
    <col min="20" max="21" width="2.33203125" style="16"/>
    <col min="22" max="31" width="2.5" style="16" customWidth="1"/>
    <col min="32" max="39" width="11.83203125" style="16" customWidth="1"/>
    <col min="40" max="41" width="2.33203125" style="16"/>
    <col min="42" max="45" width="3.83203125" style="16" customWidth="1"/>
    <col min="46" max="57" width="11.83203125" style="16" customWidth="1"/>
    <col min="58" max="16384" width="2.33203125" style="16"/>
  </cols>
  <sheetData>
    <row r="1" spans="1:57" ht="18">
      <c r="B1" s="17" t="s">
        <v>270</v>
      </c>
    </row>
    <row r="2" spans="1:57" ht="15">
      <c r="B2" s="18" t="str">
        <f>Model_Name</f>
        <v>SMA 13. Multiple Workbooks - Best Practice Model Example 1</v>
      </c>
    </row>
    <row r="3" spans="1:57">
      <c r="B3" s="255" t="s">
        <v>1</v>
      </c>
      <c r="C3" s="255"/>
      <c r="D3" s="255"/>
      <c r="E3" s="255"/>
      <c r="F3" s="255"/>
      <c r="G3" s="255"/>
      <c r="H3" s="255"/>
      <c r="I3" s="255"/>
      <c r="J3" s="255"/>
      <c r="K3" s="255"/>
      <c r="L3" s="153"/>
    </row>
    <row r="4" spans="1:57" ht="12.75">
      <c r="A4" s="19" t="s">
        <v>10</v>
      </c>
      <c r="B4" s="256" t="s">
        <v>26</v>
      </c>
      <c r="C4" s="256"/>
      <c r="D4" s="257" t="s">
        <v>27</v>
      </c>
      <c r="E4" s="257"/>
      <c r="F4" s="258" t="s">
        <v>38</v>
      </c>
      <c r="G4" s="258"/>
      <c r="H4" s="258" t="s">
        <v>39</v>
      </c>
      <c r="I4" s="258"/>
      <c r="J4" s="258" t="s">
        <v>40</v>
      </c>
      <c r="K4" s="258"/>
    </row>
    <row r="7" spans="1:57" ht="11.25">
      <c r="B7" s="279" t="s">
        <v>201</v>
      </c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1"/>
      <c r="V7" s="278" t="s">
        <v>271</v>
      </c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P7" s="154" t="str">
        <f>IF(TS_Periodicity=Annual,IS_TO!$B$7,IS_TO!$B$6)</f>
        <v>Year Ending 31 December</v>
      </c>
      <c r="AQ7" s="155"/>
      <c r="AR7" s="97"/>
      <c r="AS7" s="97"/>
      <c r="AT7" s="97"/>
      <c r="AU7" s="97"/>
      <c r="AV7" s="97"/>
      <c r="AW7" s="97"/>
      <c r="AX7" s="156" t="str">
        <f>IF(TS_Periodicity=Annual,IS_TO!J$7,IS_TO!J$6)</f>
        <v xml:space="preserve">2010 (F) </v>
      </c>
      <c r="AY7" s="156" t="str">
        <f>IF(TS_Periodicity=Annual,IS_TO!K$7,IS_TO!K$6)</f>
        <v xml:space="preserve">2011 (F) </v>
      </c>
      <c r="AZ7" s="156" t="str">
        <f>IF(TS_Periodicity=Annual,IS_TO!L$7,IS_TO!L$6)</f>
        <v xml:space="preserve">2012 (F) </v>
      </c>
      <c r="BA7" s="156" t="str">
        <f>IF(TS_Periodicity=Annual,IS_TO!M$7,IS_TO!M$6)</f>
        <v xml:space="preserve">2013 (F) </v>
      </c>
      <c r="BB7" s="156" t="str">
        <f>IF(TS_Periodicity=Annual,IS_TO!N$7,IS_TO!N$6)</f>
        <v xml:space="preserve">2014 (F) </v>
      </c>
      <c r="BC7" s="156" t="str">
        <f>IF(TS_Periodicity=Annual,IS_TO!O$7,IS_TO!O$6)</f>
        <v xml:space="preserve">2015 (F) </v>
      </c>
      <c r="BD7" s="156" t="str">
        <f>IF(TS_Periodicity=Annual,IS_TO!P$7,IS_TO!P$6)</f>
        <v xml:space="preserve">2016 (F) </v>
      </c>
      <c r="BE7" s="156" t="str">
        <f>IF(TS_Periodicity=Annual,IS_TO!Q$7,IS_TO!Q$6)</f>
        <v xml:space="preserve">2017 (F) </v>
      </c>
    </row>
    <row r="8" spans="1:57"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</row>
    <row r="9" spans="1:57">
      <c r="B9" s="159" t="str">
        <f>IF(TS_Periodicity=Annual,IS_TO!$B$7,IS_TO!$B$6)</f>
        <v>Year Ending 31 December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60" t="str">
        <f>IF(TS_Periodicity=Annual,IS_TO!J$7,IS_TO!J$6)</f>
        <v xml:space="preserve">2010 (F) </v>
      </c>
      <c r="O9" s="160" t="str">
        <f>IF(TS_Periodicity=Annual,IS_TO!K$7,IS_TO!K$6)</f>
        <v xml:space="preserve">2011 (F) </v>
      </c>
      <c r="P9" s="160" t="str">
        <f>IF(TS_Periodicity=Annual,IS_TO!L$7,IS_TO!L$6)</f>
        <v xml:space="preserve">2012 (F) </v>
      </c>
      <c r="Q9" s="160" t="str">
        <f>IF(TS_Periodicity=Annual,IS_TO!M$7,IS_TO!M$6)</f>
        <v xml:space="preserve">2013 (F) </v>
      </c>
      <c r="R9" s="160" t="str">
        <f>IF(TS_Periodicity=Annual,IS_TO!N$7,IS_TO!N$6)</f>
        <v xml:space="preserve">2014 (F) </v>
      </c>
      <c r="S9" s="160" t="str">
        <f>IF(TS_Periodicity=Annual,IS_TO!O$7,IS_TO!O$6)</f>
        <v xml:space="preserve">2015 (F) </v>
      </c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P9" s="134" t="s">
        <v>272</v>
      </c>
    </row>
    <row r="10" spans="1:57"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</row>
    <row r="11" spans="1:57">
      <c r="B11" s="161" t="str">
        <f>IS_TO!D18</f>
        <v>Revenue</v>
      </c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62">
        <f>IS_TO!J18</f>
        <v>125</v>
      </c>
      <c r="O11" s="162">
        <f>IS_TO!K18</f>
        <v>128.125</v>
      </c>
      <c r="P11" s="162">
        <f>IS_TO!L18</f>
        <v>131.328125</v>
      </c>
      <c r="Q11" s="162">
        <f>IS_TO!M18</f>
        <v>134.611328125</v>
      </c>
      <c r="R11" s="162">
        <f>IS_TO!N18</f>
        <v>137.97661132812499</v>
      </c>
      <c r="S11" s="162">
        <f>IS_TO!O18</f>
        <v>141.4260266113281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Q11" s="134" t="s">
        <v>61</v>
      </c>
      <c r="AU11" s="6" t="str">
        <f>Fcast_TO!C18</f>
        <v>Revenue</v>
      </c>
    </row>
    <row r="12" spans="1:57">
      <c r="B12" s="163" t="str">
        <f>IS_TO!D19</f>
        <v>Cost of Goods Sold</v>
      </c>
      <c r="N12" s="162">
        <f>IS_TO!J19</f>
        <v>-25</v>
      </c>
      <c r="O12" s="162">
        <f>IS_TO!K19</f>
        <v>-25.624999999999996</v>
      </c>
      <c r="P12" s="162">
        <f>IS_TO!L19</f>
        <v>-26.265624999999993</v>
      </c>
      <c r="Q12" s="162">
        <f>IS_TO!M19</f>
        <v>-26.922265624999991</v>
      </c>
      <c r="R12" s="162">
        <f>IS_TO!N19</f>
        <v>-27.59532226562499</v>
      </c>
      <c r="S12" s="162">
        <f>IS_TO!O19</f>
        <v>-28.285205322265611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</row>
    <row r="13" spans="1:57">
      <c r="B13" s="164" t="str">
        <f>IS_TO!C21</f>
        <v>Gross Margin</v>
      </c>
      <c r="N13" s="165">
        <f>SUM(N11:N12)</f>
        <v>100</v>
      </c>
      <c r="O13" s="165">
        <f t="shared" ref="O13:S13" si="0">SUM(O11:O12)</f>
        <v>102.5</v>
      </c>
      <c r="P13" s="165">
        <f t="shared" si="0"/>
        <v>105.0625</v>
      </c>
      <c r="Q13" s="165">
        <f t="shared" si="0"/>
        <v>107.68906250000001</v>
      </c>
      <c r="R13" s="165">
        <f t="shared" si="0"/>
        <v>110.3812890625</v>
      </c>
      <c r="S13" s="165">
        <f t="shared" si="0"/>
        <v>113.14082128906249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Q13" s="6" t="str">
        <f>Fcast_TO!C18</f>
        <v>Revenue</v>
      </c>
      <c r="AX13" s="120">
        <f>Fcast_TO!J18</f>
        <v>125</v>
      </c>
      <c r="AY13" s="120">
        <f>Fcast_TO!K18</f>
        <v>128.125</v>
      </c>
      <c r="AZ13" s="120">
        <f>Fcast_TO!L18</f>
        <v>131.328125</v>
      </c>
      <c r="BA13" s="120">
        <f>Fcast_TO!M18</f>
        <v>134.611328125</v>
      </c>
      <c r="BB13" s="120">
        <f>Fcast_TO!N18</f>
        <v>137.97661132812499</v>
      </c>
      <c r="BC13" s="120">
        <f>Fcast_TO!O18</f>
        <v>141.4260266113281</v>
      </c>
      <c r="BD13" s="120">
        <f>Fcast_TO!P18</f>
        <v>144.96167727661128</v>
      </c>
      <c r="BE13" s="120">
        <f>Fcast_TO!Q18</f>
        <v>148.58571920852654</v>
      </c>
    </row>
    <row r="14" spans="1:57">
      <c r="B14" s="161" t="str">
        <f>IS_TO!D23</f>
        <v>Operating Expenditure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62">
        <f>IS_TO!J23</f>
        <v>-40</v>
      </c>
      <c r="O14" s="162">
        <f>IS_TO!K23</f>
        <v>-41</v>
      </c>
      <c r="P14" s="162">
        <f>IS_TO!L23</f>
        <v>-42.024999999999999</v>
      </c>
      <c r="Q14" s="162">
        <f>IS_TO!M23</f>
        <v>-43.075624999999995</v>
      </c>
      <c r="R14" s="162">
        <f>IS_TO!N23</f>
        <v>-44.152515624999992</v>
      </c>
      <c r="S14" s="162">
        <f>IS_TO!O23</f>
        <v>-45.256328515624986</v>
      </c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</row>
    <row r="15" spans="1:57">
      <c r="B15" s="166" t="str">
        <f>IS_TO!C25</f>
        <v>EBITDA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65">
        <f>SUM(N13:N14)</f>
        <v>60</v>
      </c>
      <c r="O15" s="165">
        <f t="shared" ref="O15:S15" si="1">SUM(O13:O14)</f>
        <v>61.5</v>
      </c>
      <c r="P15" s="165">
        <f t="shared" si="1"/>
        <v>63.037500000000001</v>
      </c>
      <c r="Q15" s="165">
        <f t="shared" si="1"/>
        <v>64.613437500000003</v>
      </c>
      <c r="R15" s="165">
        <f t="shared" si="1"/>
        <v>66.22877343750001</v>
      </c>
      <c r="S15" s="165">
        <f t="shared" si="1"/>
        <v>67.884492773437501</v>
      </c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P15" s="134" t="s">
        <v>273</v>
      </c>
    </row>
    <row r="16" spans="1:57">
      <c r="B16" s="161" t="str">
        <f>IS_TO!D29</f>
        <v>Depreciation &amp; Amortization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62">
        <f>IS_TO!J29</f>
        <v>-14.125</v>
      </c>
      <c r="O16" s="162">
        <f>IS_TO!K29</f>
        <v>-14.478124999999999</v>
      </c>
      <c r="P16" s="162">
        <f>IS_TO!L29</f>
        <v>-14.840078124999996</v>
      </c>
      <c r="Q16" s="162">
        <f>IS_TO!M29</f>
        <v>-15.211080078124994</v>
      </c>
      <c r="R16" s="162">
        <f>IS_TO!N29</f>
        <v>-15.591357080078117</v>
      </c>
      <c r="S16" s="162">
        <f>IS_TO!O29</f>
        <v>-15.981141007080069</v>
      </c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</row>
    <row r="17" spans="2:57">
      <c r="B17" s="166" t="str">
        <f>IS_TO!C31</f>
        <v>EBIT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65">
        <f>SUM(N15:N16)</f>
        <v>45.875</v>
      </c>
      <c r="O17" s="165">
        <f t="shared" ref="O17:S17" si="2">SUM(O15:O16)</f>
        <v>47.021875000000001</v>
      </c>
      <c r="P17" s="165">
        <f t="shared" si="2"/>
        <v>48.197421875000003</v>
      </c>
      <c r="Q17" s="165">
        <f t="shared" si="2"/>
        <v>49.40235742187501</v>
      </c>
      <c r="R17" s="165">
        <f t="shared" si="2"/>
        <v>50.637416357421891</v>
      </c>
      <c r="S17" s="165">
        <f t="shared" si="2"/>
        <v>51.903351766357432</v>
      </c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Q17" s="134" t="s">
        <v>61</v>
      </c>
      <c r="AU17" s="6" t="str">
        <f>Fcast_TO!C19</f>
        <v>Cost of Goods Sold</v>
      </c>
    </row>
    <row r="18" spans="2:57">
      <c r="B18" s="161" t="str">
        <f>IS_TO!D33</f>
        <v>Interest Expense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62">
        <f>IS_TO!J33</f>
        <v>-3.25</v>
      </c>
      <c r="O18" s="162">
        <f>IS_TO!K33</f>
        <v>-3.25</v>
      </c>
      <c r="P18" s="162">
        <f>IS_TO!L33</f>
        <v>-3.25</v>
      </c>
      <c r="Q18" s="162">
        <f>IS_TO!M33</f>
        <v>-3.25</v>
      </c>
      <c r="R18" s="162">
        <f>IS_TO!N33</f>
        <v>-3.4125000000000001</v>
      </c>
      <c r="S18" s="162">
        <f>IS_TO!O33</f>
        <v>-3.5750000000000002</v>
      </c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</row>
    <row r="19" spans="2:57">
      <c r="B19" s="166" t="str">
        <f>IS_TO!C35</f>
        <v>Net Profit Before Tax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65">
        <f>SUM(N17:N18)</f>
        <v>42.625</v>
      </c>
      <c r="O19" s="165">
        <f t="shared" ref="O19:S19" si="3">SUM(O17:O18)</f>
        <v>43.771875000000001</v>
      </c>
      <c r="P19" s="165">
        <f t="shared" si="3"/>
        <v>44.947421875000003</v>
      </c>
      <c r="Q19" s="165">
        <f t="shared" si="3"/>
        <v>46.15235742187501</v>
      </c>
      <c r="R19" s="165">
        <f t="shared" si="3"/>
        <v>47.22491635742189</v>
      </c>
      <c r="S19" s="165">
        <f t="shared" si="3"/>
        <v>48.328351766357429</v>
      </c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Q19" s="6" t="str">
        <f>Fcast_TO!C19</f>
        <v>Cost of Goods Sold</v>
      </c>
      <c r="AX19" s="120">
        <f>Fcast_TO!J19</f>
        <v>25</v>
      </c>
      <c r="AY19" s="120">
        <f>Fcast_TO!K19</f>
        <v>25.624999999999996</v>
      </c>
      <c r="AZ19" s="120">
        <f>Fcast_TO!L19</f>
        <v>26.265624999999993</v>
      </c>
      <c r="BA19" s="120">
        <f>Fcast_TO!M19</f>
        <v>26.922265624999991</v>
      </c>
      <c r="BB19" s="120">
        <f>Fcast_TO!N19</f>
        <v>27.59532226562499</v>
      </c>
      <c r="BC19" s="120">
        <f>Fcast_TO!O19</f>
        <v>28.285205322265611</v>
      </c>
      <c r="BD19" s="120">
        <f>Fcast_TO!P19</f>
        <v>28.992335455322248</v>
      </c>
      <c r="BE19" s="120">
        <f>Fcast_TO!Q19</f>
        <v>29.717143841705301</v>
      </c>
    </row>
    <row r="20" spans="2:57">
      <c r="B20" s="161" t="str">
        <f>IS_TO!D37</f>
        <v>Tax Expense / (Benefit)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62">
        <f>IS_TO!J37</f>
        <v>-12.7875</v>
      </c>
      <c r="O20" s="162">
        <f>IS_TO!K37</f>
        <v>-13.131562499999999</v>
      </c>
      <c r="P20" s="162">
        <f>IS_TO!L37</f>
        <v>-13.4842265625</v>
      </c>
      <c r="Q20" s="162">
        <f>IS_TO!M37</f>
        <v>-13.845707226562503</v>
      </c>
      <c r="R20" s="162">
        <f>IS_TO!N37</f>
        <v>-14.167474907226566</v>
      </c>
      <c r="S20" s="162">
        <f>IS_TO!O37</f>
        <v>-14.498505529907227</v>
      </c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</row>
    <row r="21" spans="2:57" ht="11.25" thickBot="1">
      <c r="B21" s="166" t="str">
        <f>IS_TO!C39</f>
        <v>Net Profit After Tax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67">
        <f>SUM(N19:N20)</f>
        <v>29.837499999999999</v>
      </c>
      <c r="O21" s="167">
        <f t="shared" ref="O21:S21" si="4">SUM(O19:O20)</f>
        <v>30.6403125</v>
      </c>
      <c r="P21" s="167">
        <f t="shared" si="4"/>
        <v>31.463195312500005</v>
      </c>
      <c r="Q21" s="167">
        <f t="shared" si="4"/>
        <v>32.306650195312507</v>
      </c>
      <c r="R21" s="167">
        <f t="shared" si="4"/>
        <v>33.057441450195327</v>
      </c>
      <c r="S21" s="167">
        <f t="shared" si="4"/>
        <v>33.829846236450202</v>
      </c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P21" s="134" t="s">
        <v>274</v>
      </c>
    </row>
    <row r="22" spans="2:57" ht="11.25" thickTop="1"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</row>
    <row r="23" spans="2:57">
      <c r="B23" s="168" t="s">
        <v>275</v>
      </c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69">
        <f t="shared" ref="N23:S23" si="5">IF(ISERROR(N15/N11),"N/A",N15/N11)</f>
        <v>0.48</v>
      </c>
      <c r="O23" s="169">
        <f t="shared" si="5"/>
        <v>0.48</v>
      </c>
      <c r="P23" s="169">
        <f t="shared" si="5"/>
        <v>0.48000000000000004</v>
      </c>
      <c r="Q23" s="169">
        <f t="shared" si="5"/>
        <v>0.48000000000000004</v>
      </c>
      <c r="R23" s="169">
        <f t="shared" si="5"/>
        <v>0.48000000000000009</v>
      </c>
      <c r="S23" s="169">
        <f t="shared" si="5"/>
        <v>0.48000000000000009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Q23" s="134" t="s">
        <v>61</v>
      </c>
      <c r="AU23" s="6" t="str">
        <f>Fcast_TO!C20</f>
        <v>Operating Expenditure</v>
      </c>
    </row>
    <row r="24" spans="2:57"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</row>
    <row r="25" spans="2:57"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Q25" s="6" t="str">
        <f>Fcast_TO!C20</f>
        <v>Operating Expenditure</v>
      </c>
      <c r="AX25" s="120">
        <f>Fcast_TO!J20</f>
        <v>40</v>
      </c>
      <c r="AY25" s="120">
        <f>Fcast_TO!K20</f>
        <v>41</v>
      </c>
      <c r="AZ25" s="120">
        <f>Fcast_TO!L20</f>
        <v>42.024999999999999</v>
      </c>
      <c r="BA25" s="120">
        <f>Fcast_TO!M20</f>
        <v>43.075624999999995</v>
      </c>
      <c r="BB25" s="120">
        <f>Fcast_TO!N20</f>
        <v>44.152515624999992</v>
      </c>
      <c r="BC25" s="120">
        <f>Fcast_TO!O20</f>
        <v>45.256328515624986</v>
      </c>
      <c r="BD25" s="120">
        <f>Fcast_TO!P20</f>
        <v>46.387736728515605</v>
      </c>
      <c r="BE25" s="120">
        <f>Fcast_TO!Q20</f>
        <v>47.547430146728495</v>
      </c>
    </row>
    <row r="26" spans="2:57" ht="11.25">
      <c r="B26" s="282" t="s">
        <v>210</v>
      </c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4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</row>
    <row r="27" spans="2:57" ht="11.25"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V27" s="278" t="s">
        <v>276</v>
      </c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P27" s="134" t="s">
        <v>277</v>
      </c>
    </row>
    <row r="28" spans="2:57">
      <c r="B28" s="159" t="str">
        <f>IF(TS_Periodicity=Annual,IS_TO!$B$7,IS_TO!$B$6)</f>
        <v>Year Ending 31 December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60" t="str">
        <f>IF(TS_Periodicity=Annual,IS_TO!J$7,IS_TO!J$6)</f>
        <v xml:space="preserve">2010 (F) </v>
      </c>
      <c r="O28" s="160" t="str">
        <f>IF(TS_Periodicity=Annual,IS_TO!K$7,IS_TO!K$6)</f>
        <v xml:space="preserve">2011 (F) </v>
      </c>
      <c r="P28" s="160" t="str">
        <f>IF(TS_Periodicity=Annual,IS_TO!L$7,IS_TO!L$6)</f>
        <v xml:space="preserve">2012 (F) </v>
      </c>
      <c r="Q28" s="160" t="str">
        <f>IF(TS_Periodicity=Annual,IS_TO!M$7,IS_TO!M$6)</f>
        <v xml:space="preserve">2013 (F) </v>
      </c>
      <c r="R28" s="160" t="str">
        <f>IF(TS_Periodicity=Annual,IS_TO!N$7,IS_TO!N$6)</f>
        <v xml:space="preserve">2014 (F) </v>
      </c>
      <c r="S28" s="160" t="str">
        <f>IF(TS_Periodicity=Annual,IS_TO!O$7,IS_TO!O$6)</f>
        <v xml:space="preserve">2015 (F) 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</row>
    <row r="29" spans="2:57"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Q29" s="134" t="s">
        <v>61</v>
      </c>
      <c r="AU29" s="5" t="s">
        <v>278</v>
      </c>
    </row>
    <row r="30" spans="2:57">
      <c r="B30" s="161" t="s">
        <v>211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62">
        <f>BS_TO!J25</f>
        <v>51.84494863013699</v>
      </c>
      <c r="O30" s="162">
        <f>BS_TO!K25</f>
        <v>65.250134845890386</v>
      </c>
      <c r="P30" s="162">
        <f>BS_TO!L25</f>
        <v>78.970884413422112</v>
      </c>
      <c r="Q30" s="162">
        <f>BS_TO!M25</f>
        <v>93.084672922463625</v>
      </c>
      <c r="R30" s="162">
        <f>BS_TO!N25</f>
        <v>112.4255397455252</v>
      </c>
      <c r="S30" s="162">
        <f>BS_TO!O25</f>
        <v>127.07413136416335</v>
      </c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</row>
    <row r="31" spans="2:57">
      <c r="B31" s="161" t="s">
        <v>216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62">
        <f>BS_TO!J33</f>
        <v>164.875</v>
      </c>
      <c r="O31" s="162">
        <f>BS_TO!K33</f>
        <v>169.33437499999999</v>
      </c>
      <c r="P31" s="162">
        <f>BS_TO!L33</f>
        <v>173.88023437499999</v>
      </c>
      <c r="Q31" s="162">
        <f>BS_TO!M33</f>
        <v>178.51474023437501</v>
      </c>
      <c r="R31" s="162">
        <f>BS_TO!N33</f>
        <v>183.2401087402344</v>
      </c>
      <c r="S31" s="162">
        <f>BS_TO!O33</f>
        <v>188.05861145874027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Q31" s="6" t="str">
        <f>IS_TO!$D$18</f>
        <v>Revenue</v>
      </c>
      <c r="AX31" s="120">
        <f>IS_TO!J18</f>
        <v>125</v>
      </c>
      <c r="AY31" s="120">
        <f>IS_TO!K18</f>
        <v>128.125</v>
      </c>
      <c r="AZ31" s="120">
        <f>IS_TO!L18</f>
        <v>131.328125</v>
      </c>
      <c r="BA31" s="120">
        <f>IS_TO!M18</f>
        <v>134.611328125</v>
      </c>
      <c r="BB31" s="120">
        <f>IS_TO!N18</f>
        <v>137.97661132812499</v>
      </c>
      <c r="BC31" s="120">
        <f>IS_TO!O18</f>
        <v>141.4260266113281</v>
      </c>
      <c r="BD31" s="120">
        <f>IS_TO!P18</f>
        <v>144.96167727661128</v>
      </c>
      <c r="BE31" s="120">
        <f>IS_TO!Q18</f>
        <v>148.58571920852654</v>
      </c>
    </row>
    <row r="32" spans="2:57">
      <c r="B32" s="170" t="s">
        <v>219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65">
        <f>SUM(N30:N31)</f>
        <v>216.719948630137</v>
      </c>
      <c r="O32" s="165">
        <f t="shared" ref="O32:S32" si="6">SUM(O30:O31)</f>
        <v>234.58450984589038</v>
      </c>
      <c r="P32" s="165">
        <f t="shared" si="6"/>
        <v>252.8511187884221</v>
      </c>
      <c r="Q32" s="165">
        <f t="shared" si="6"/>
        <v>271.59941315683864</v>
      </c>
      <c r="R32" s="165">
        <f t="shared" si="6"/>
        <v>295.66564848575962</v>
      </c>
      <c r="S32" s="165">
        <f t="shared" si="6"/>
        <v>315.13274282290365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Q32" s="6" t="str">
        <f>IS_TO!$D$19</f>
        <v>Cost of Goods Sold</v>
      </c>
      <c r="AX32" s="120">
        <f>IS_TO!J19</f>
        <v>-25</v>
      </c>
      <c r="AY32" s="120">
        <f>IS_TO!K19</f>
        <v>-25.624999999999996</v>
      </c>
      <c r="AZ32" s="120">
        <f>IS_TO!L19</f>
        <v>-26.265624999999993</v>
      </c>
      <c r="BA32" s="120">
        <f>IS_TO!M19</f>
        <v>-26.922265624999991</v>
      </c>
      <c r="BB32" s="120">
        <f>IS_TO!N19</f>
        <v>-27.59532226562499</v>
      </c>
      <c r="BC32" s="120">
        <f>IS_TO!O19</f>
        <v>-28.285205322265611</v>
      </c>
      <c r="BD32" s="120">
        <f>IS_TO!P19</f>
        <v>-28.992335455322248</v>
      </c>
      <c r="BE32" s="120">
        <f>IS_TO!Q19</f>
        <v>-29.717143841705301</v>
      </c>
    </row>
    <row r="33" spans="2:57"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62"/>
      <c r="O33" s="162"/>
      <c r="P33" s="162"/>
      <c r="Q33" s="162"/>
      <c r="R33" s="162"/>
      <c r="S33" s="162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Q33" s="6" t="str">
        <f>IS_TO!$D$23</f>
        <v>Operating Expenditure</v>
      </c>
      <c r="AX33" s="120">
        <f>IS_TO!J23</f>
        <v>-40</v>
      </c>
      <c r="AY33" s="120">
        <f>IS_TO!K23</f>
        <v>-41</v>
      </c>
      <c r="AZ33" s="120">
        <f>IS_TO!L23</f>
        <v>-42.024999999999999</v>
      </c>
      <c r="BA33" s="120">
        <f>IS_TO!M23</f>
        <v>-43.075624999999995</v>
      </c>
      <c r="BB33" s="120">
        <f>IS_TO!N23</f>
        <v>-44.152515624999992</v>
      </c>
      <c r="BC33" s="120">
        <f>IS_TO!O23</f>
        <v>-45.256328515624986</v>
      </c>
      <c r="BD33" s="120">
        <f>IS_TO!P23</f>
        <v>-46.387736728515605</v>
      </c>
      <c r="BE33" s="120">
        <f>IS_TO!Q23</f>
        <v>-47.547430146728495</v>
      </c>
    </row>
    <row r="34" spans="2:57">
      <c r="B34" s="161" t="s">
        <v>220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62">
        <f>BS_TO!J44</f>
        <v>24.801198630136987</v>
      </c>
      <c r="O34" s="162">
        <f>BS_TO!K44</f>
        <v>26.345603595890413</v>
      </c>
      <c r="P34" s="162">
        <f>BS_TO!L44</f>
        <v>27.880614882172132</v>
      </c>
      <c r="Q34" s="162">
        <f>BS_TO!M44</f>
        <v>29.47558415293237</v>
      </c>
      <c r="R34" s="162">
        <f>BS_TO!N44</f>
        <v>31.013098756755678</v>
      </c>
      <c r="S34" s="162">
        <f>BS_TO!O44</f>
        <v>32.565269975674568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Q34" s="6" t="str">
        <f>IS_TO!$C$25</f>
        <v>EBITDA</v>
      </c>
      <c r="AX34" s="120">
        <f>IS_TO!J25</f>
        <v>60</v>
      </c>
      <c r="AY34" s="120">
        <f>IS_TO!K25</f>
        <v>61.5</v>
      </c>
      <c r="AZ34" s="120">
        <f>IS_TO!L25</f>
        <v>63.037500000000001</v>
      </c>
      <c r="BA34" s="120">
        <f>IS_TO!M25</f>
        <v>64.613437500000003</v>
      </c>
      <c r="BB34" s="120">
        <f>IS_TO!N25</f>
        <v>66.22877343750001</v>
      </c>
      <c r="BC34" s="120">
        <f>IS_TO!O25</f>
        <v>67.884492773437501</v>
      </c>
      <c r="BD34" s="120">
        <f>IS_TO!P25</f>
        <v>69.58160509277343</v>
      </c>
      <c r="BE34" s="120">
        <f>IS_TO!Q25</f>
        <v>71.321145220092745</v>
      </c>
    </row>
    <row r="35" spans="2:57">
      <c r="B35" s="161" t="s">
        <v>225</v>
      </c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62">
        <f>BS_TO!J51</f>
        <v>56</v>
      </c>
      <c r="O35" s="162">
        <f>BS_TO!K51</f>
        <v>57</v>
      </c>
      <c r="P35" s="162">
        <f>BS_TO!L51</f>
        <v>58</v>
      </c>
      <c r="Q35" s="162">
        <f>BS_TO!M51</f>
        <v>59</v>
      </c>
      <c r="R35" s="162">
        <f>BS_TO!N51</f>
        <v>65</v>
      </c>
      <c r="S35" s="162">
        <f>BS_TO!O51</f>
        <v>66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</row>
    <row r="36" spans="2:57">
      <c r="B36" s="170" t="s">
        <v>228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65">
        <f>SUM(N34:N35)</f>
        <v>80.80119863013698</v>
      </c>
      <c r="O36" s="165">
        <f t="shared" ref="O36:S36" si="7">SUM(O34:O35)</f>
        <v>83.34560359589041</v>
      </c>
      <c r="P36" s="165">
        <f t="shared" si="7"/>
        <v>85.880614882172125</v>
      </c>
      <c r="Q36" s="165">
        <f t="shared" si="7"/>
        <v>88.47558415293237</v>
      </c>
      <c r="R36" s="165">
        <f t="shared" si="7"/>
        <v>96.013098756755682</v>
      </c>
      <c r="S36" s="165">
        <f t="shared" si="7"/>
        <v>98.565269975674568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P36" s="134" t="s">
        <v>277</v>
      </c>
    </row>
    <row r="37" spans="2:57"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62"/>
      <c r="O37" s="162"/>
      <c r="P37" s="162"/>
      <c r="Q37" s="162"/>
      <c r="R37" s="162"/>
      <c r="S37" s="162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</row>
    <row r="38" spans="2:57">
      <c r="B38" s="170" t="s">
        <v>229</v>
      </c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71">
        <f>N32-N36</f>
        <v>135.91875000000002</v>
      </c>
      <c r="O38" s="171">
        <f t="shared" ref="O38:S38" si="8">O32-O36</f>
        <v>151.23890624999996</v>
      </c>
      <c r="P38" s="171">
        <f t="shared" si="8"/>
        <v>166.97050390624997</v>
      </c>
      <c r="Q38" s="171">
        <f t="shared" si="8"/>
        <v>183.12382900390628</v>
      </c>
      <c r="R38" s="171">
        <f t="shared" si="8"/>
        <v>199.65254972900394</v>
      </c>
      <c r="S38" s="171">
        <f t="shared" si="8"/>
        <v>216.56747284722908</v>
      </c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Q38" s="134" t="s">
        <v>61</v>
      </c>
      <c r="AU38" s="132" t="str">
        <f>"Operating Expenditure - Committed vs. Discretionary - "&amp;INDEX(LU_Dashboard_Selected_Period,AU40)</f>
        <v xml:space="preserve">Operating Expenditure - Committed vs. Discretionary - 2010 (F) </v>
      </c>
    </row>
    <row r="39" spans="2:57"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62"/>
      <c r="O39" s="162"/>
      <c r="P39" s="162"/>
      <c r="Q39" s="162"/>
      <c r="R39" s="162"/>
      <c r="S39" s="162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</row>
    <row r="40" spans="2:57">
      <c r="B40" s="161" t="s">
        <v>231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62">
        <f>BS_TO!J59</f>
        <v>75</v>
      </c>
      <c r="O40" s="162">
        <f>BS_TO!K59</f>
        <v>75</v>
      </c>
      <c r="P40" s="162">
        <f>BS_TO!L59</f>
        <v>75</v>
      </c>
      <c r="Q40" s="162">
        <f>BS_TO!M59</f>
        <v>75</v>
      </c>
      <c r="R40" s="162">
        <f>BS_TO!N59</f>
        <v>75</v>
      </c>
      <c r="S40" s="162">
        <f>BS_TO!O59</f>
        <v>75</v>
      </c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Q40" s="134" t="s">
        <v>279</v>
      </c>
      <c r="AU40" s="172">
        <v>1</v>
      </c>
    </row>
    <row r="41" spans="2:57">
      <c r="B41" s="161" t="s">
        <v>235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62">
        <f>BS_TO!J65</f>
        <v>60.918750000000003</v>
      </c>
      <c r="O41" s="162">
        <f>BS_TO!K65</f>
        <v>76.238906250000014</v>
      </c>
      <c r="P41" s="162">
        <f>BS_TO!L65</f>
        <v>91.970503906250016</v>
      </c>
      <c r="Q41" s="162">
        <f>BS_TO!M65</f>
        <v>108.12382900390628</v>
      </c>
      <c r="R41" s="162">
        <f>BS_TO!N65</f>
        <v>124.65254972900394</v>
      </c>
      <c r="S41" s="162">
        <f>BS_TO!O65</f>
        <v>141.56747284722906</v>
      </c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</row>
    <row r="42" spans="2:57">
      <c r="B42" s="170" t="s">
        <v>280</v>
      </c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71">
        <f>SUM(N40:N41)</f>
        <v>135.91874999999999</v>
      </c>
      <c r="O42" s="171">
        <f t="shared" ref="O42:S42" si="9">SUM(O40:O41)</f>
        <v>151.23890625000001</v>
      </c>
      <c r="P42" s="171">
        <f t="shared" si="9"/>
        <v>166.97050390625003</v>
      </c>
      <c r="Q42" s="171">
        <f t="shared" si="9"/>
        <v>183.12382900390628</v>
      </c>
      <c r="R42" s="171">
        <f t="shared" si="9"/>
        <v>199.65254972900394</v>
      </c>
      <c r="S42" s="171">
        <f t="shared" si="9"/>
        <v>216.56747284722906</v>
      </c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Q42" s="5" t="s">
        <v>281</v>
      </c>
      <c r="AW42" s="173">
        <v>0.47499999999999998</v>
      </c>
      <c r="AX42" s="106">
        <f ca="1">SUM(OFFSET($AX$25:$AX$25,0,$AU$40-1))*AW42</f>
        <v>19</v>
      </c>
    </row>
    <row r="43" spans="2:57"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Q43" s="5" t="s">
        <v>282</v>
      </c>
      <c r="AW43" s="125">
        <f>1-AW42</f>
        <v>0.52500000000000002</v>
      </c>
      <c r="AX43" s="106">
        <f ca="1">SUM(OFFSET($AX$25:$AX$25,0,$AU$40-1))*AW43</f>
        <v>21</v>
      </c>
    </row>
    <row r="44" spans="2:57"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Q44" s="6"/>
      <c r="AX44" s="106"/>
    </row>
    <row r="45" spans="2:57" ht="11.25">
      <c r="B45" s="285" t="s">
        <v>240</v>
      </c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7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P45" s="134" t="s">
        <v>283</v>
      </c>
      <c r="AQ45" s="6"/>
      <c r="AX45" s="106"/>
    </row>
    <row r="46" spans="2:57" ht="11.25"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V46" s="278" t="s">
        <v>284</v>
      </c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Q46" s="6"/>
      <c r="AX46" s="106"/>
    </row>
    <row r="47" spans="2:57">
      <c r="B47" s="159" t="str">
        <f>IF(TS_Periodicity=Annual,IS_TO!$B$7,IS_TO!$B$6)</f>
        <v>Year Ending 31 December</v>
      </c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60" t="str">
        <f>IF(TS_Periodicity=Annual,IS_TO!J$7,IS_TO!J$6)</f>
        <v xml:space="preserve">2010 (F) </v>
      </c>
      <c r="O47" s="160" t="str">
        <f>IF(TS_Periodicity=Annual,IS_TO!K$7,IS_TO!K$6)</f>
        <v xml:space="preserve">2011 (F) </v>
      </c>
      <c r="P47" s="160" t="str">
        <f>IF(TS_Periodicity=Annual,IS_TO!L$7,IS_TO!L$6)</f>
        <v xml:space="preserve">2012 (F) </v>
      </c>
      <c r="Q47" s="160" t="str">
        <f>IF(TS_Periodicity=Annual,IS_TO!M$7,IS_TO!M$6)</f>
        <v xml:space="preserve">2013 (F) </v>
      </c>
      <c r="R47" s="160" t="str">
        <f>IF(TS_Periodicity=Annual,IS_TO!N$7,IS_TO!N$6)</f>
        <v xml:space="preserve">2014 (F) </v>
      </c>
      <c r="S47" s="160" t="str">
        <f>IF(TS_Periodicity=Annual,IS_TO!O$7,IS_TO!O$6)</f>
        <v xml:space="preserve">2015 (F) </v>
      </c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Q47" s="134" t="s">
        <v>61</v>
      </c>
      <c r="AU47" s="132" t="str">
        <f>"Net Assets - "&amp;INDEX(LU_Dashboard_Selected_Period,AU49)</f>
        <v xml:space="preserve">Net Assets - 2010 (F) </v>
      </c>
    </row>
    <row r="48" spans="2:57"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</row>
    <row r="49" spans="2:54">
      <c r="B49" s="161" t="s">
        <v>244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62">
        <f>CFS_TO!J22</f>
        <v>135.72602739726028</v>
      </c>
      <c r="O49" s="162">
        <f>CFS_TO!K22</f>
        <v>127.86815068493149</v>
      </c>
      <c r="P49" s="162">
        <f>CFS_TO!L22</f>
        <v>131.09434650797215</v>
      </c>
      <c r="Q49" s="162">
        <f>CFS_TO!M22</f>
        <v>134.31198375743881</v>
      </c>
      <c r="R49" s="162">
        <f>CFS_TO!N22</f>
        <v>137.70001270869005</v>
      </c>
      <c r="S49" s="162">
        <f>CFS_TO!O22</f>
        <v>141.1425130264073</v>
      </c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Q49" s="134" t="s">
        <v>279</v>
      </c>
      <c r="AU49" s="172">
        <v>1</v>
      </c>
    </row>
    <row r="50" spans="2:54">
      <c r="B50" s="161" t="s">
        <v>246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62">
        <f>CFS_TO!J26</f>
        <v>-72.986301369863014</v>
      </c>
      <c r="O50" s="162">
        <f>CFS_TO!K26</f>
        <v>-66.424657534246577</v>
      </c>
      <c r="P50" s="162">
        <f>CFS_TO!L26</f>
        <v>-68.108277776218273</v>
      </c>
      <c r="Q50" s="162">
        <f>CFS_TO!M26</f>
        <v>-69.764402018302249</v>
      </c>
      <c r="R50" s="162">
        <f>CFS_TO!N26</f>
        <v>-71.532090967465734</v>
      </c>
      <c r="S50" s="162">
        <f>CFS_TO!O26</f>
        <v>-73.320393241652368</v>
      </c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</row>
    <row r="51" spans="2:54">
      <c r="B51" s="161" t="s">
        <v>285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62">
        <f>N52-SUM(N49:N50)</f>
        <v>-6.75</v>
      </c>
      <c r="O51" s="162">
        <f t="shared" ref="O51:S51" si="10">O52-SUM(O49:O50)</f>
        <v>-16.037500000000001</v>
      </c>
      <c r="P51" s="162">
        <f t="shared" si="10"/>
        <v>-16.381562500000001</v>
      </c>
      <c r="Q51" s="162">
        <f t="shared" si="10"/>
        <v>-16.734226562499998</v>
      </c>
      <c r="R51" s="162">
        <f t="shared" si="10"/>
        <v>-17.258207226562504</v>
      </c>
      <c r="S51" s="162">
        <f t="shared" si="10"/>
        <v>-17.742474907226566</v>
      </c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X51" s="276" t="s">
        <v>286</v>
      </c>
      <c r="AY51" s="276" t="s">
        <v>287</v>
      </c>
      <c r="AZ51" s="276" t="s">
        <v>288</v>
      </c>
      <c r="BA51" s="276" t="s">
        <v>289</v>
      </c>
      <c r="BB51" s="276" t="s">
        <v>290</v>
      </c>
    </row>
    <row r="52" spans="2:54">
      <c r="B52" s="170" t="s">
        <v>291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71">
        <f>CFS_TO!J31</f>
        <v>55.989726027397268</v>
      </c>
      <c r="O52" s="171">
        <f>CFS_TO!K31</f>
        <v>45.405993150684914</v>
      </c>
      <c r="P52" s="171">
        <f>CFS_TO!L31</f>
        <v>46.604506231753874</v>
      </c>
      <c r="Q52" s="171">
        <f>CFS_TO!M31</f>
        <v>47.813355176636563</v>
      </c>
      <c r="R52" s="171">
        <f>CFS_TO!N31</f>
        <v>48.909714514661815</v>
      </c>
      <c r="S52" s="171">
        <f>CFS_TO!O31</f>
        <v>50.079644877528366</v>
      </c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Q52" s="134" t="s">
        <v>292</v>
      </c>
      <c r="AX52" s="277"/>
      <c r="AY52" s="277"/>
      <c r="AZ52" s="277"/>
      <c r="BA52" s="277"/>
      <c r="BB52" s="277"/>
    </row>
    <row r="53" spans="2:54"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62"/>
      <c r="O53" s="162"/>
      <c r="P53" s="162"/>
      <c r="Q53" s="162"/>
      <c r="R53" s="162"/>
      <c r="S53" s="162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Q53" s="5" t="s">
        <v>49</v>
      </c>
      <c r="AX53" s="106">
        <f ca="1">OFFSET($N$32,0,AU49-1)</f>
        <v>216.719948630137</v>
      </c>
      <c r="AY53" s="106"/>
      <c r="AZ53" s="174">
        <v>0</v>
      </c>
      <c r="BA53" s="175">
        <f ca="1">AX53</f>
        <v>216.719948630137</v>
      </c>
      <c r="BB53" s="106">
        <f ca="1">SUM(AZ53:BA53)</f>
        <v>216.719948630137</v>
      </c>
    </row>
    <row r="54" spans="2:54">
      <c r="B54" s="161" t="s">
        <v>293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62">
        <f>SUM(CFS_TO!J35:J36)</f>
        <v>-17.5</v>
      </c>
      <c r="O54" s="162">
        <f>SUM(CFS_TO!K35:K36)</f>
        <v>-17.9375</v>
      </c>
      <c r="P54" s="162">
        <f>SUM(CFS_TO!L35:L36)</f>
        <v>-18.385937499999997</v>
      </c>
      <c r="Q54" s="162">
        <f>SUM(CFS_TO!M35:M36)</f>
        <v>-18.845585937499994</v>
      </c>
      <c r="R54" s="162">
        <f>SUM(CFS_TO!N35:N36)</f>
        <v>-19.31672558593749</v>
      </c>
      <c r="S54" s="162">
        <f>SUM(CFS_TO!O35:O36)</f>
        <v>-19.799643725585927</v>
      </c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Q54" s="5" t="s">
        <v>294</v>
      </c>
      <c r="AX54" s="128"/>
      <c r="AY54" s="128">
        <f ca="1">-OFFSET($N$36,0,AU49-1)</f>
        <v>-80.80119863013698</v>
      </c>
      <c r="AZ54" s="176">
        <f ca="1">BA53+IF(AY54&lt;0,AY54,0)</f>
        <v>135.91875000000002</v>
      </c>
      <c r="BA54" s="128">
        <f ca="1">ABS(AY54)</f>
        <v>80.80119863013698</v>
      </c>
      <c r="BB54" s="128">
        <f ca="1">SUM(AZ54:BA54)</f>
        <v>216.719948630137</v>
      </c>
    </row>
    <row r="55" spans="2:54">
      <c r="B55" s="161" t="s">
        <v>295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2">
        <f>SUM(CFS_TO!J37:J38)</f>
        <v>0</v>
      </c>
      <c r="O55" s="162">
        <f>SUM(CFS_TO!K37:K38)</f>
        <v>0</v>
      </c>
      <c r="P55" s="162">
        <f>SUM(CFS_TO!L37:L38)</f>
        <v>0</v>
      </c>
      <c r="Q55" s="162">
        <f>SUM(CFS_TO!M37:M38)</f>
        <v>0</v>
      </c>
      <c r="R55" s="162">
        <f>SUM(CFS_TO!N37:N38)</f>
        <v>0</v>
      </c>
      <c r="S55" s="162">
        <f>SUM(CFS_TO!O37:O38)</f>
        <v>0</v>
      </c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Q55" s="134" t="s">
        <v>229</v>
      </c>
      <c r="AX55" s="129">
        <f ca="1">AX53+SUM(AY54:AY54)</f>
        <v>135.91875000000002</v>
      </c>
      <c r="AY55" s="129"/>
      <c r="AZ55" s="177">
        <v>0</v>
      </c>
      <c r="BA55" s="129">
        <f ca="1">SUM(AX53,AY54:AY54)</f>
        <v>135.91875000000002</v>
      </c>
      <c r="BB55" s="129">
        <f ca="1">SUM(AZ55:BA55)</f>
        <v>135.91875000000002</v>
      </c>
    </row>
    <row r="56" spans="2:54">
      <c r="B56" s="170" t="s">
        <v>296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71">
        <f>SUM(N54:N55)</f>
        <v>-17.5</v>
      </c>
      <c r="O56" s="171">
        <f t="shared" ref="O56:S56" si="11">SUM(O54:O55)</f>
        <v>-17.9375</v>
      </c>
      <c r="P56" s="171">
        <f t="shared" si="11"/>
        <v>-18.385937499999997</v>
      </c>
      <c r="Q56" s="171">
        <f t="shared" si="11"/>
        <v>-18.845585937499994</v>
      </c>
      <c r="R56" s="171">
        <f t="shared" si="11"/>
        <v>-19.31672558593749</v>
      </c>
      <c r="S56" s="171">
        <f t="shared" si="11"/>
        <v>-19.799643725585927</v>
      </c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</row>
    <row r="57" spans="2:54"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62"/>
      <c r="O57" s="162"/>
      <c r="P57" s="162"/>
      <c r="Q57" s="162"/>
      <c r="R57" s="162"/>
      <c r="S57" s="162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</row>
    <row r="58" spans="2:54">
      <c r="B58" s="161" t="s">
        <v>297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62">
        <f>SUM(CFS_TO!J43:J44)</f>
        <v>0</v>
      </c>
      <c r="O58" s="162">
        <f>SUM(CFS_TO!K43:K44)</f>
        <v>0</v>
      </c>
      <c r="P58" s="162">
        <f>SUM(CFS_TO!L43:L44)</f>
        <v>0</v>
      </c>
      <c r="Q58" s="162">
        <f>SUM(CFS_TO!M43:M44)</f>
        <v>0</v>
      </c>
      <c r="R58" s="162">
        <f>SUM(CFS_TO!N43:N44)</f>
        <v>5</v>
      </c>
      <c r="S58" s="162">
        <f>SUM(CFS_TO!O43:O44)</f>
        <v>0</v>
      </c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</row>
    <row r="59" spans="2:54">
      <c r="B59" s="161" t="s">
        <v>298</v>
      </c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62">
        <f>SUM(CFS_TO!J45:J46)</f>
        <v>0</v>
      </c>
      <c r="O59" s="162">
        <f>SUM(CFS_TO!K45:K46)</f>
        <v>0</v>
      </c>
      <c r="P59" s="162">
        <f>SUM(CFS_TO!L45:L46)</f>
        <v>0</v>
      </c>
      <c r="Q59" s="162">
        <f>SUM(CFS_TO!M45:M46)</f>
        <v>0</v>
      </c>
      <c r="R59" s="162">
        <f>SUM(CFS_TO!N45:N46)</f>
        <v>0</v>
      </c>
      <c r="S59" s="162">
        <f>SUM(CFS_TO!O45:O46)</f>
        <v>0</v>
      </c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</row>
    <row r="60" spans="2:54">
      <c r="B60" s="161" t="s">
        <v>299</v>
      </c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62">
        <f>CFS_TO!J47</f>
        <v>-14.918749999999999</v>
      </c>
      <c r="O60" s="162">
        <f>CFS_TO!K47</f>
        <v>-15.32015625</v>
      </c>
      <c r="P60" s="162">
        <f>CFS_TO!L47</f>
        <v>-15.731597656250003</v>
      </c>
      <c r="Q60" s="162">
        <f>CFS_TO!M47</f>
        <v>-16.153325097656253</v>
      </c>
      <c r="R60" s="162">
        <f>CFS_TO!N47</f>
        <v>-16.528720725097664</v>
      </c>
      <c r="S60" s="162">
        <f>CFS_TO!O47</f>
        <v>-16.914923118225101</v>
      </c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</row>
    <row r="61" spans="2:54">
      <c r="B61" s="170" t="s">
        <v>300</v>
      </c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71">
        <f>SUM(N58:N60)</f>
        <v>-14.918749999999999</v>
      </c>
      <c r="O61" s="171">
        <f t="shared" ref="O61:S61" si="12">SUM(O58:O60)</f>
        <v>-15.32015625</v>
      </c>
      <c r="P61" s="171">
        <f t="shared" si="12"/>
        <v>-15.731597656250003</v>
      </c>
      <c r="Q61" s="171">
        <f t="shared" si="12"/>
        <v>-16.153325097656253</v>
      </c>
      <c r="R61" s="171">
        <f t="shared" si="12"/>
        <v>-11.528720725097664</v>
      </c>
      <c r="S61" s="171">
        <f t="shared" si="12"/>
        <v>-16.914923118225101</v>
      </c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</row>
    <row r="62" spans="2:54"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62"/>
      <c r="O62" s="162"/>
      <c r="P62" s="162"/>
      <c r="Q62" s="162"/>
      <c r="R62" s="162"/>
      <c r="S62" s="162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</row>
    <row r="63" spans="2:54" ht="11.25" thickBot="1">
      <c r="B63" s="170" t="s">
        <v>301</v>
      </c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67">
        <f t="shared" ref="N63:S63" si="13">N52+N56+N61</f>
        <v>23.570976027397268</v>
      </c>
      <c r="O63" s="167">
        <f t="shared" si="13"/>
        <v>12.148336900684914</v>
      </c>
      <c r="P63" s="167">
        <f t="shared" si="13"/>
        <v>12.486971075503874</v>
      </c>
      <c r="Q63" s="167">
        <f t="shared" si="13"/>
        <v>12.814444141480315</v>
      </c>
      <c r="R63" s="167">
        <f t="shared" si="13"/>
        <v>18.064268203626661</v>
      </c>
      <c r="S63" s="167">
        <f t="shared" si="13"/>
        <v>13.365078033717339</v>
      </c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</row>
    <row r="64" spans="2:54" ht="11.25" thickTop="1"/>
  </sheetData>
  <mergeCells count="17">
    <mergeCell ref="V46:AM46"/>
    <mergeCell ref="B3:K3"/>
    <mergeCell ref="B4:C4"/>
    <mergeCell ref="D4:E4"/>
    <mergeCell ref="F4:G4"/>
    <mergeCell ref="H4:I4"/>
    <mergeCell ref="J4:K4"/>
    <mergeCell ref="B7:S7"/>
    <mergeCell ref="V7:AM7"/>
    <mergeCell ref="B26:S26"/>
    <mergeCell ref="V27:AM27"/>
    <mergeCell ref="B45:S45"/>
    <mergeCell ref="AX51:AX52"/>
    <mergeCell ref="AY51:AY52"/>
    <mergeCell ref="AZ51:AZ52"/>
    <mergeCell ref="BA51:BA52"/>
    <mergeCell ref="BB51:BB52"/>
  </mergeCells>
  <dataValidations count="1">
    <dataValidation type="whole" showDropDown="1" showErrorMessage="1" errorTitle="0 Cell Link" error="The value in a 0 cell link must be a whole number within the control's lookup range rows." sqref="AU49 AU40">
      <formula1>1</formula1>
      <formula2>ROWS(LU_Dashboard_Selected_Period )</formula2>
    </dataValidation>
  </dataValidations>
  <hyperlinks>
    <hyperlink ref="B3" location="HL_Home" tooltip="Go to Table of Contents" display="HL_Home"/>
    <hyperlink ref="A4" location="$B$5" tooltip="Go to Top of Sheet" display="$B$5"/>
    <hyperlink ref="D4" location="HL_Sheet_Main_39" tooltip="Go to Next Sheet" display="HL_Sheet_Main_39"/>
    <hyperlink ref="B4" location="HL_Sheet_Main_20" tooltip="Go to Previous Sheet" display="HL_Sheet_Main_20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8" orientation="landscape" horizontalDpi="300" verticalDpi="300" r:id="rId1"/>
  <headerFooter>
    <oddFooter>&amp;L&amp;F
&amp;A
Printed: &amp;T on &amp;D&amp;CPage &amp;P of &amp;N&amp;R&amp;G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50"/>
  <sheetViews>
    <sheetView showGridLines="0" zoomScaleNormal="100" workbookViewId="0">
      <pane xSplit="1" ySplit="6" topLeftCell="B7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8</v>
      </c>
    </row>
    <row r="2" spans="1:17" ht="15">
      <c r="B2" s="7" t="str">
        <f>Model_Name</f>
        <v>SMA 13. Multiple Workbooks - Best Practice Model Example 1</v>
      </c>
    </row>
    <row r="3" spans="1:17">
      <c r="B3" s="241" t="s">
        <v>9</v>
      </c>
      <c r="C3" s="241"/>
      <c r="D3" s="241"/>
      <c r="E3" s="241"/>
      <c r="F3" s="241"/>
      <c r="G3" s="241"/>
      <c r="H3" s="241"/>
      <c r="I3" s="241"/>
      <c r="J3" s="8"/>
    </row>
    <row r="6" spans="1:17" s="10" customFormat="1" ht="12.75">
      <c r="A6" s="9" t="s">
        <v>10</v>
      </c>
      <c r="B6" s="234" t="s">
        <v>11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235" t="s">
        <v>400</v>
      </c>
    </row>
    <row r="8" spans="1:17" ht="19.149999999999999" customHeight="1">
      <c r="B8" s="248">
        <v>1</v>
      </c>
      <c r="C8" s="248"/>
      <c r="D8" s="249" t="str">
        <f>Overview_SC!C9</f>
        <v>Overview</v>
      </c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36">
        <v>4</v>
      </c>
    </row>
    <row r="9" spans="1:17" ht="11.25">
      <c r="D9" s="246" t="s">
        <v>12</v>
      </c>
      <c r="E9" s="246"/>
      <c r="F9" s="242" t="str">
        <f>Notes_SSC!C9</f>
        <v>Notes</v>
      </c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37">
        <v>5</v>
      </c>
    </row>
    <row r="10" spans="1:17" outlineLevel="1">
      <c r="F10" s="243" t="s">
        <v>13</v>
      </c>
      <c r="G10" s="243"/>
      <c r="H10" s="244" t="str">
        <f>Linked_Workbooks_Diagram_MS!B1</f>
        <v>Linked Workbooks Diagram</v>
      </c>
      <c r="I10" s="244"/>
      <c r="J10" s="244"/>
      <c r="K10" s="244"/>
      <c r="L10" s="244"/>
      <c r="M10" s="244"/>
      <c r="N10" s="244"/>
      <c r="O10" s="244"/>
      <c r="P10" s="244"/>
      <c r="Q10" s="238">
        <v>6</v>
      </c>
    </row>
    <row r="11" spans="1:17" ht="19.149999999999999" customHeight="1">
      <c r="B11" s="248">
        <v>2</v>
      </c>
      <c r="C11" s="248"/>
      <c r="D11" s="249" t="str">
        <f>Assumptions_SC!C9</f>
        <v>Assumptions</v>
      </c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36">
        <v>7</v>
      </c>
    </row>
    <row r="12" spans="1:17" ht="11.25">
      <c r="D12" s="246" t="s">
        <v>14</v>
      </c>
      <c r="E12" s="246"/>
      <c r="F12" s="242" t="str">
        <f>TS_Ass_SSC!C9</f>
        <v>Time Series Assumptions</v>
      </c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37">
        <v>8</v>
      </c>
    </row>
    <row r="13" spans="1:17" outlineLevel="1">
      <c r="F13" s="243" t="s">
        <v>13</v>
      </c>
      <c r="G13" s="243"/>
      <c r="H13" s="244" t="str">
        <f>TS_BA!B1</f>
        <v>Time Series Assumptions</v>
      </c>
      <c r="I13" s="244"/>
      <c r="J13" s="244"/>
      <c r="K13" s="244"/>
      <c r="L13" s="244"/>
      <c r="M13" s="244"/>
      <c r="N13" s="244"/>
      <c r="O13" s="244"/>
      <c r="P13" s="244"/>
      <c r="Q13" s="238">
        <v>9</v>
      </c>
    </row>
    <row r="14" spans="1:17" ht="11.25">
      <c r="D14" s="246" t="s">
        <v>15</v>
      </c>
      <c r="E14" s="246"/>
      <c r="F14" s="242" t="str">
        <f>Fcast_Ass_SSC!C9</f>
        <v>Forecast Assumptions</v>
      </c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37">
        <v>10</v>
      </c>
    </row>
    <row r="15" spans="1:17" outlineLevel="1">
      <c r="F15" s="243" t="s">
        <v>13</v>
      </c>
      <c r="G15" s="243"/>
      <c r="H15" s="244" t="str">
        <f>Fcast_TA!B1</f>
        <v>Assumptions</v>
      </c>
      <c r="I15" s="244"/>
      <c r="J15" s="244"/>
      <c r="K15" s="244"/>
      <c r="L15" s="244"/>
      <c r="M15" s="244"/>
      <c r="N15" s="244"/>
      <c r="O15" s="244"/>
      <c r="P15" s="244"/>
      <c r="Q15" s="238">
        <v>11</v>
      </c>
    </row>
    <row r="16" spans="1:17" outlineLevel="1">
      <c r="H16" s="11" t="s">
        <v>4</v>
      </c>
      <c r="I16" s="245" t="str">
        <f>TOC_Hdg_11</f>
        <v>Capital - Assumptions</v>
      </c>
      <c r="J16" s="245"/>
      <c r="K16" s="245"/>
      <c r="L16" s="245"/>
      <c r="M16" s="245"/>
      <c r="N16" s="245"/>
      <c r="O16" s="245"/>
      <c r="P16" s="245"/>
      <c r="Q16" s="11" t="s">
        <v>4</v>
      </c>
    </row>
    <row r="17" spans="2:17" outlineLevel="1">
      <c r="H17" s="11" t="s">
        <v>4</v>
      </c>
      <c r="I17" s="245" t="str">
        <f>TOC_Hdg_12</f>
        <v>Taxation - Assumptions</v>
      </c>
      <c r="J17" s="245"/>
      <c r="K17" s="245"/>
      <c r="L17" s="245"/>
      <c r="M17" s="245"/>
      <c r="N17" s="245"/>
      <c r="O17" s="245"/>
      <c r="P17" s="245"/>
      <c r="Q17" s="11" t="s">
        <v>4</v>
      </c>
    </row>
    <row r="18" spans="2:17" outlineLevel="1">
      <c r="H18" s="11" t="s">
        <v>4</v>
      </c>
      <c r="I18" s="245" t="str">
        <f>TOC_Hdg_13</f>
        <v>Other Balance Sheet Items - Assumptions</v>
      </c>
      <c r="J18" s="245"/>
      <c r="K18" s="245"/>
      <c r="L18" s="245"/>
      <c r="M18" s="245"/>
      <c r="N18" s="245"/>
      <c r="O18" s="245"/>
      <c r="P18" s="245"/>
      <c r="Q18" s="11" t="s">
        <v>4</v>
      </c>
    </row>
    <row r="19" spans="2:17" ht="19.149999999999999" customHeight="1">
      <c r="B19" s="248">
        <v>3</v>
      </c>
      <c r="C19" s="248"/>
      <c r="D19" s="249" t="str">
        <f>Base_OP_SC!C9</f>
        <v>Outputs</v>
      </c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36">
        <v>15</v>
      </c>
    </row>
    <row r="20" spans="2:17" ht="11.25">
      <c r="D20" s="246" t="s">
        <v>16</v>
      </c>
      <c r="E20" s="246"/>
      <c r="F20" s="242" t="str">
        <f>Fcast_OP_SSC!C9</f>
        <v>Forecast Outputs</v>
      </c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37">
        <v>16</v>
      </c>
    </row>
    <row r="21" spans="2:17" outlineLevel="1">
      <c r="F21" s="243" t="s">
        <v>13</v>
      </c>
      <c r="G21" s="243"/>
      <c r="H21" s="244" t="str">
        <f>Fcast_TO!B1</f>
        <v>Outputs</v>
      </c>
      <c r="I21" s="244"/>
      <c r="J21" s="244"/>
      <c r="K21" s="244"/>
      <c r="L21" s="244"/>
      <c r="M21" s="244"/>
      <c r="N21" s="244"/>
      <c r="O21" s="244"/>
      <c r="P21" s="244"/>
      <c r="Q21" s="238">
        <v>17</v>
      </c>
    </row>
    <row r="22" spans="2:17" outlineLevel="1">
      <c r="H22" s="11" t="s">
        <v>4</v>
      </c>
      <c r="I22" s="245" t="str">
        <f>TOC_Hdg_21</f>
        <v>Operational - Outputs</v>
      </c>
      <c r="J22" s="245"/>
      <c r="K22" s="245"/>
      <c r="L22" s="245"/>
      <c r="M22" s="245"/>
      <c r="N22" s="245"/>
      <c r="O22" s="245"/>
      <c r="P22" s="245"/>
      <c r="Q22" s="11" t="s">
        <v>4</v>
      </c>
    </row>
    <row r="23" spans="2:17" outlineLevel="1">
      <c r="H23" s="11" t="s">
        <v>4</v>
      </c>
      <c r="I23" s="245" t="str">
        <f>TOC_Hdg_24</f>
        <v>Working Capital - Outputs</v>
      </c>
      <c r="J23" s="245"/>
      <c r="K23" s="245"/>
      <c r="L23" s="245"/>
      <c r="M23" s="245"/>
      <c r="N23" s="245"/>
      <c r="O23" s="245"/>
      <c r="P23" s="245"/>
      <c r="Q23" s="11" t="s">
        <v>4</v>
      </c>
    </row>
    <row r="24" spans="2:17" outlineLevel="1">
      <c r="H24" s="11" t="s">
        <v>4</v>
      </c>
      <c r="I24" s="245" t="str">
        <f>TOC_Hdg_17</f>
        <v>Assets - Outputs</v>
      </c>
      <c r="J24" s="245"/>
      <c r="K24" s="245"/>
      <c r="L24" s="245"/>
      <c r="M24" s="245"/>
      <c r="N24" s="245"/>
      <c r="O24" s="245"/>
      <c r="P24" s="245"/>
      <c r="Q24" s="11" t="s">
        <v>4</v>
      </c>
    </row>
    <row r="25" spans="2:17" outlineLevel="1">
      <c r="H25" s="11" t="s">
        <v>4</v>
      </c>
      <c r="I25" s="245" t="str">
        <f>TOC_Hdg_15</f>
        <v>Capital - Outputs</v>
      </c>
      <c r="J25" s="245"/>
      <c r="K25" s="245"/>
      <c r="L25" s="245"/>
      <c r="M25" s="245"/>
      <c r="N25" s="245"/>
      <c r="O25" s="245"/>
      <c r="P25" s="245"/>
      <c r="Q25" s="11" t="s">
        <v>4</v>
      </c>
    </row>
    <row r="26" spans="2:17" outlineLevel="1">
      <c r="H26" s="11" t="s">
        <v>4</v>
      </c>
      <c r="I26" s="245" t="str">
        <f>TOC_Hdg_32</f>
        <v>Taxation - Output Summary</v>
      </c>
      <c r="J26" s="245"/>
      <c r="K26" s="245"/>
      <c r="L26" s="245"/>
      <c r="M26" s="245"/>
      <c r="N26" s="245"/>
      <c r="O26" s="245"/>
      <c r="P26" s="245"/>
      <c r="Q26" s="11" t="s">
        <v>4</v>
      </c>
    </row>
    <row r="27" spans="2:17" outlineLevel="1">
      <c r="H27" s="11" t="s">
        <v>4</v>
      </c>
      <c r="I27" s="245" t="str">
        <f>TOC_Hdg_16</f>
        <v>Other Balance Sheet Items - Outputs</v>
      </c>
      <c r="J27" s="245"/>
      <c r="K27" s="245"/>
      <c r="L27" s="245"/>
      <c r="M27" s="245"/>
      <c r="N27" s="245"/>
      <c r="O27" s="245"/>
      <c r="P27" s="245"/>
      <c r="Q27" s="11" t="s">
        <v>4</v>
      </c>
    </row>
    <row r="28" spans="2:17" ht="11.25">
      <c r="D28" s="246" t="s">
        <v>17</v>
      </c>
      <c r="E28" s="246"/>
      <c r="F28" s="242" t="str">
        <f>FS_OP_SSC!C9</f>
        <v>Financial Statements</v>
      </c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37">
        <v>25</v>
      </c>
    </row>
    <row r="29" spans="2:17" outlineLevel="1">
      <c r="F29" s="243" t="s">
        <v>13</v>
      </c>
      <c r="G29" s="243"/>
      <c r="H29" s="244" t="str">
        <f>IS_TO!B1</f>
        <v>Income Statement</v>
      </c>
      <c r="I29" s="244"/>
      <c r="J29" s="244"/>
      <c r="K29" s="244"/>
      <c r="L29" s="244"/>
      <c r="M29" s="244"/>
      <c r="N29" s="244"/>
      <c r="O29" s="244"/>
      <c r="P29" s="244"/>
      <c r="Q29" s="238">
        <v>26</v>
      </c>
    </row>
    <row r="30" spans="2:17" outlineLevel="1">
      <c r="F30" s="243" t="s">
        <v>18</v>
      </c>
      <c r="G30" s="243"/>
      <c r="H30" s="244" t="str">
        <f>BS_TO!B1</f>
        <v>Balance Sheet</v>
      </c>
      <c r="I30" s="244"/>
      <c r="J30" s="244"/>
      <c r="K30" s="244"/>
      <c r="L30" s="244"/>
      <c r="M30" s="244"/>
      <c r="N30" s="244"/>
      <c r="O30" s="244"/>
      <c r="P30" s="244"/>
      <c r="Q30" s="238">
        <v>27</v>
      </c>
    </row>
    <row r="31" spans="2:17" outlineLevel="1">
      <c r="F31" s="243" t="s">
        <v>19</v>
      </c>
      <c r="G31" s="243"/>
      <c r="H31" s="244" t="str">
        <f>CFS_TO!B1</f>
        <v>Cash Flow Statement</v>
      </c>
      <c r="I31" s="244"/>
      <c r="J31" s="244"/>
      <c r="K31" s="244"/>
      <c r="L31" s="244"/>
      <c r="M31" s="244"/>
      <c r="N31" s="244"/>
      <c r="O31" s="244"/>
      <c r="P31" s="244"/>
      <c r="Q31" s="238">
        <v>29</v>
      </c>
    </row>
    <row r="32" spans="2:17" outlineLevel="1">
      <c r="H32" s="11" t="s">
        <v>4</v>
      </c>
      <c r="I32" s="245" t="str">
        <f>TOC_Hdg_35</f>
        <v>Direct Cash Flow Statement</v>
      </c>
      <c r="J32" s="245"/>
      <c r="K32" s="245"/>
      <c r="L32" s="245"/>
      <c r="M32" s="245"/>
      <c r="N32" s="245"/>
      <c r="O32" s="245"/>
      <c r="P32" s="245"/>
      <c r="Q32" s="11" t="s">
        <v>4</v>
      </c>
    </row>
    <row r="33" spans="2:17" outlineLevel="1">
      <c r="H33" s="11" t="s">
        <v>4</v>
      </c>
      <c r="I33" s="245" t="str">
        <f>TOC_Hdg_36</f>
        <v>Indirect Cash Flow Statement</v>
      </c>
      <c r="J33" s="245"/>
      <c r="K33" s="245"/>
      <c r="L33" s="245"/>
      <c r="M33" s="245"/>
      <c r="N33" s="245"/>
      <c r="O33" s="245"/>
      <c r="P33" s="245"/>
      <c r="Q33" s="11" t="s">
        <v>4</v>
      </c>
    </row>
    <row r="34" spans="2:17" outlineLevel="1">
      <c r="H34" s="11" t="s">
        <v>4</v>
      </c>
      <c r="I34" s="245" t="str">
        <f>TOC_Hdg_14</f>
        <v>Capital Providers - Cash Flow Reconciliation</v>
      </c>
      <c r="J34" s="245"/>
      <c r="K34" s="245"/>
      <c r="L34" s="245"/>
      <c r="M34" s="245"/>
      <c r="N34" s="245"/>
      <c r="O34" s="245"/>
      <c r="P34" s="245"/>
      <c r="Q34" s="11" t="s">
        <v>4</v>
      </c>
    </row>
    <row r="35" spans="2:17" ht="11.25">
      <c r="D35" s="246" t="s">
        <v>20</v>
      </c>
      <c r="E35" s="246"/>
      <c r="F35" s="242" t="str">
        <f>Dashboards_SSC!C9</f>
        <v>Dashboard Outputs</v>
      </c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37">
        <v>32</v>
      </c>
    </row>
    <row r="36" spans="2:17" outlineLevel="1">
      <c r="F36" s="243" t="s">
        <v>13</v>
      </c>
      <c r="G36" s="243"/>
      <c r="H36" s="244" t="str">
        <f>BS_Sum_P_MS!B1</f>
        <v>Business Planning Summary</v>
      </c>
      <c r="I36" s="244"/>
      <c r="J36" s="244"/>
      <c r="K36" s="244"/>
      <c r="L36" s="244"/>
      <c r="M36" s="244"/>
      <c r="N36" s="244"/>
      <c r="O36" s="244"/>
      <c r="P36" s="244"/>
      <c r="Q36" s="238">
        <v>33</v>
      </c>
    </row>
    <row r="37" spans="2:17" ht="19.149999999999999" customHeight="1">
      <c r="B37" s="248">
        <v>4</v>
      </c>
      <c r="C37" s="248"/>
      <c r="D37" s="249" t="str">
        <f>Appendices_SC!C9</f>
        <v>Appendices</v>
      </c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36">
        <v>34</v>
      </c>
    </row>
    <row r="38" spans="2:17" ht="11.25">
      <c r="D38" s="246" t="s">
        <v>21</v>
      </c>
      <c r="E38" s="246"/>
      <c r="F38" s="242" t="str">
        <f>Model_Imports_SSC!C9</f>
        <v>Model Imports</v>
      </c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37">
        <v>35</v>
      </c>
    </row>
    <row r="39" spans="2:17" outlineLevel="1">
      <c r="F39" s="243" t="s">
        <v>13</v>
      </c>
      <c r="G39" s="243"/>
      <c r="H39" s="247" t="str">
        <f>Model_Exports_MI_TO!B1</f>
        <v>Model Imports (From BPM-SMA 13-Best Practice Model Example 2)</v>
      </c>
      <c r="I39" s="247"/>
      <c r="J39" s="247"/>
      <c r="K39" s="247"/>
      <c r="L39" s="247"/>
      <c r="M39" s="247"/>
      <c r="N39" s="247"/>
      <c r="O39" s="247"/>
      <c r="P39" s="247"/>
      <c r="Q39" s="239">
        <v>36</v>
      </c>
    </row>
    <row r="40" spans="2:17" ht="11.25">
      <c r="D40" s="246" t="s">
        <v>22</v>
      </c>
      <c r="E40" s="246"/>
      <c r="F40" s="242" t="str">
        <f>Checks_SSC!C9</f>
        <v>Checks</v>
      </c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37">
        <v>38</v>
      </c>
    </row>
    <row r="41" spans="2:17" outlineLevel="1">
      <c r="F41" s="243" t="s">
        <v>13</v>
      </c>
      <c r="G41" s="243"/>
      <c r="H41" s="244" t="str">
        <f>Checks_BO!B1</f>
        <v>Checks</v>
      </c>
      <c r="I41" s="244"/>
      <c r="J41" s="244"/>
      <c r="K41" s="244"/>
      <c r="L41" s="244"/>
      <c r="M41" s="244"/>
      <c r="N41" s="244"/>
      <c r="O41" s="244"/>
      <c r="P41" s="244"/>
      <c r="Q41" s="238">
        <v>39</v>
      </c>
    </row>
    <row r="42" spans="2:17" outlineLevel="1">
      <c r="H42" s="11" t="s">
        <v>4</v>
      </c>
      <c r="I42" s="245" t="str">
        <f>TOC_Hdg_6</f>
        <v>Error Checks</v>
      </c>
      <c r="J42" s="245"/>
      <c r="K42" s="245"/>
      <c r="L42" s="245"/>
      <c r="M42" s="245"/>
      <c r="N42" s="245"/>
      <c r="O42" s="245"/>
      <c r="P42" s="245"/>
      <c r="Q42" s="11" t="s">
        <v>4</v>
      </c>
    </row>
    <row r="43" spans="2:17" outlineLevel="1">
      <c r="H43" s="11" t="s">
        <v>4</v>
      </c>
      <c r="I43" s="245" t="str">
        <f>TOC_Hdg_7</f>
        <v>Sensitivity Checks</v>
      </c>
      <c r="J43" s="245"/>
      <c r="K43" s="245"/>
      <c r="L43" s="245"/>
      <c r="M43" s="245"/>
      <c r="N43" s="245"/>
      <c r="O43" s="245"/>
      <c r="P43" s="245"/>
      <c r="Q43" s="11" t="s">
        <v>4</v>
      </c>
    </row>
    <row r="44" spans="2:17" outlineLevel="1">
      <c r="H44" s="11" t="s">
        <v>4</v>
      </c>
      <c r="I44" s="245" t="str">
        <f>TOC_Hdg_8</f>
        <v>Alert Checks</v>
      </c>
      <c r="J44" s="245"/>
      <c r="K44" s="245"/>
      <c r="L44" s="245"/>
      <c r="M44" s="245"/>
      <c r="N44" s="245"/>
      <c r="O44" s="245"/>
      <c r="P44" s="245"/>
      <c r="Q44" s="11" t="s">
        <v>4</v>
      </c>
    </row>
    <row r="45" spans="2:17" ht="11.25">
      <c r="D45" s="246" t="s">
        <v>23</v>
      </c>
      <c r="E45" s="246"/>
      <c r="F45" s="242" t="str">
        <f>LU_SSC!C9</f>
        <v>Lookup Tables</v>
      </c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37">
        <v>42</v>
      </c>
    </row>
    <row r="46" spans="2:17" outlineLevel="1">
      <c r="F46" s="243" t="s">
        <v>13</v>
      </c>
      <c r="G46" s="243"/>
      <c r="H46" s="244" t="str">
        <f>TS_LU!B1</f>
        <v>Time Series Lookup Tables</v>
      </c>
      <c r="I46" s="244"/>
      <c r="J46" s="244"/>
      <c r="K46" s="244"/>
      <c r="L46" s="244"/>
      <c r="M46" s="244"/>
      <c r="N46" s="244"/>
      <c r="O46" s="244"/>
      <c r="P46" s="244"/>
      <c r="Q46" s="238">
        <v>43</v>
      </c>
    </row>
    <row r="47" spans="2:17" outlineLevel="1">
      <c r="F47" s="243" t="s">
        <v>18</v>
      </c>
      <c r="G47" s="243"/>
      <c r="H47" s="244" t="str">
        <f>Capital_LU!B1</f>
        <v>Capital - Lookup Tables</v>
      </c>
      <c r="I47" s="244"/>
      <c r="J47" s="244"/>
      <c r="K47" s="244"/>
      <c r="L47" s="244"/>
      <c r="M47" s="244"/>
      <c r="N47" s="244"/>
      <c r="O47" s="244"/>
      <c r="P47" s="244"/>
      <c r="Q47" s="238">
        <v>46</v>
      </c>
    </row>
    <row r="48" spans="2:17" outlineLevel="1">
      <c r="F48" s="243" t="s">
        <v>19</v>
      </c>
      <c r="G48" s="243"/>
      <c r="H48" s="244" t="str">
        <f>Dashboards_LU!B1</f>
        <v>Dashboards - Lookup Tables</v>
      </c>
      <c r="I48" s="244"/>
      <c r="J48" s="244"/>
      <c r="K48" s="244"/>
      <c r="L48" s="244"/>
      <c r="M48" s="244"/>
      <c r="N48" s="244"/>
      <c r="O48" s="244"/>
      <c r="P48" s="244"/>
      <c r="Q48" s="238">
        <v>47</v>
      </c>
    </row>
    <row r="50" spans="2:17" ht="16.899999999999999" customHeight="1">
      <c r="B50" s="214" t="s">
        <v>401</v>
      </c>
      <c r="Q50" s="240">
        <v>47</v>
      </c>
    </row>
  </sheetData>
  <mergeCells count="68">
    <mergeCell ref="B8:C8"/>
    <mergeCell ref="D8:P8"/>
    <mergeCell ref="D9:E9"/>
    <mergeCell ref="I24:P24"/>
    <mergeCell ref="I25:P25"/>
    <mergeCell ref="I26:P26"/>
    <mergeCell ref="B3:I3"/>
    <mergeCell ref="I17:P17"/>
    <mergeCell ref="B11:C11"/>
    <mergeCell ref="D11:P11"/>
    <mergeCell ref="D12:E12"/>
    <mergeCell ref="F12:P12"/>
    <mergeCell ref="F13:G13"/>
    <mergeCell ref="H13:P13"/>
    <mergeCell ref="D14:E14"/>
    <mergeCell ref="F14:P14"/>
    <mergeCell ref="F15:G15"/>
    <mergeCell ref="H15:P15"/>
    <mergeCell ref="I16:P16"/>
    <mergeCell ref="B19:C19"/>
    <mergeCell ref="D19:P19"/>
    <mergeCell ref="D20:E20"/>
    <mergeCell ref="F20:P20"/>
    <mergeCell ref="F21:G21"/>
    <mergeCell ref="H21:P21"/>
    <mergeCell ref="D28:E28"/>
    <mergeCell ref="F28:P28"/>
    <mergeCell ref="F29:G29"/>
    <mergeCell ref="H29:P29"/>
    <mergeCell ref="F30:G30"/>
    <mergeCell ref="H30:P30"/>
    <mergeCell ref="B37:C37"/>
    <mergeCell ref="D37:P37"/>
    <mergeCell ref="D38:E38"/>
    <mergeCell ref="F38:P38"/>
    <mergeCell ref="D35:E35"/>
    <mergeCell ref="F35:P35"/>
    <mergeCell ref="D45:E45"/>
    <mergeCell ref="F45:P45"/>
    <mergeCell ref="F46:G46"/>
    <mergeCell ref="H46:P46"/>
    <mergeCell ref="F39:G39"/>
    <mergeCell ref="H39:P39"/>
    <mergeCell ref="D40:E40"/>
    <mergeCell ref="F40:P40"/>
    <mergeCell ref="F41:G41"/>
    <mergeCell ref="H41:P41"/>
    <mergeCell ref="F48:G48"/>
    <mergeCell ref="H48:P48"/>
    <mergeCell ref="I42:P42"/>
    <mergeCell ref="I43:P43"/>
    <mergeCell ref="I44:P44"/>
    <mergeCell ref="F9:P9"/>
    <mergeCell ref="F10:G10"/>
    <mergeCell ref="H10:P10"/>
    <mergeCell ref="F47:G47"/>
    <mergeCell ref="H47:P47"/>
    <mergeCell ref="F36:G36"/>
    <mergeCell ref="H36:P36"/>
    <mergeCell ref="F31:G31"/>
    <mergeCell ref="H31:P31"/>
    <mergeCell ref="I32:P32"/>
    <mergeCell ref="I33:P33"/>
    <mergeCell ref="I34:P34"/>
    <mergeCell ref="I27:P27"/>
    <mergeCell ref="I18:P18"/>
    <mergeCell ref="I22:P22"/>
    <mergeCell ref="I23:P23"/>
  </mergeCells>
  <hyperlinks>
    <hyperlink ref="B8" location="HL_Sheet_Main_2" tooltip="Go to Overview" display="HL_Sheet_Main_2"/>
    <hyperlink ref="D8" location="HL_Sheet_Main_2" tooltip="Go to Overview" display="HL_Sheet_Main_2"/>
    <hyperlink ref="Q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Q9" location="HL_Sheet_Main_3" tooltip="Go to Notes" display="HL_Sheet_Main_3"/>
    <hyperlink ref="F10" location="HL_Sheet_Main_21" tooltip="[Click Here To Enter Sheet Title]" display="HL_Sheet_Main_21"/>
    <hyperlink ref="H10" location="HL_Sheet_Main_21" tooltip="[Click Here To Enter Sheet Title]" display="HL_Sheet_Main_21"/>
    <hyperlink ref="Q10" location="HL_Sheet_Main_21" tooltip="[Click Here To Enter Sheet Title]" display="HL_Sheet_Main_21"/>
    <hyperlink ref="B11" location="HL_Sheet_Main_11" tooltip="Go to Assumptions" display="HL_Sheet_Main_11"/>
    <hyperlink ref="D11" location="HL_Sheet_Main_11" tooltip="Go to Assumptions" display="HL_Sheet_Main_11"/>
    <hyperlink ref="Q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Q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Q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Q14" location="HL_Sheet_Main_5" tooltip="Go to Forecast Assumptions" display="HL_Sheet_Main_5"/>
    <hyperlink ref="F15" location="HL_Sheet_Main_12" tooltip="Go to Assumptions" display="HL_Sheet_Main_12"/>
    <hyperlink ref="H15" location="HL_Sheet_Main_12" tooltip="Go to Assumptions" display="HL_Sheet_Main_12"/>
    <hyperlink ref="Q15" location="HL_Sheet_Main_12" tooltip="Go to Assumptions" display="HL_Sheet_Main_12"/>
    <hyperlink ref="H16" location="HL_TOC_11" tooltip="Go to Capital - Assumptions" display="HL_TOC_11"/>
    <hyperlink ref="I16" location="HL_TOC_11" tooltip="Go to Capital - Assumptions" display="HL_TOC_11"/>
    <hyperlink ref="Q16" location="HL_TOC_11" tooltip="Go to Capital - Assumptions" display="HL_TOC_11"/>
    <hyperlink ref="H17" location="HL_TOC_12" tooltip="Go to Taxation - Assumptions" display="HL_TOC_12"/>
    <hyperlink ref="I17" location="HL_TOC_12" tooltip="Go to Taxation - Assumptions" display="HL_TOC_12"/>
    <hyperlink ref="Q17" location="HL_TOC_12" tooltip="Go to Taxation - Assumptions" display="HL_TOC_12"/>
    <hyperlink ref="H18" location="HL_TOC_13" tooltip="Go to Other Balance Sheet Items - Assumptions" display="HL_TOC_13"/>
    <hyperlink ref="I18" location="HL_TOC_13" tooltip="Go to Other Balance Sheet Items - Assumptions" display="HL_TOC_13"/>
    <hyperlink ref="Q18" location="HL_TOC_13" tooltip="Go to Other Balance Sheet Items - Assumptions" display="HL_TOC_13"/>
    <hyperlink ref="B19" location="HL_Sheet_Main_16" tooltip="Go to Outputs" display="HL_Sheet_Main_16"/>
    <hyperlink ref="D19" location="HL_Sheet_Main_16" tooltip="Go to Outputs" display="HL_Sheet_Main_16"/>
    <hyperlink ref="Q19" location="HL_Sheet_Main_16" tooltip="Go to Outputs" display="HL_Sheet_Main_16"/>
    <hyperlink ref="D20" location="HL_Sheet_Main_15" tooltip="Go to Forecast Outputs" display="HL_Sheet_Main_15"/>
    <hyperlink ref="F20" location="HL_Sheet_Main_15" tooltip="Go to Forecast Outputs" display="HL_Sheet_Main_15"/>
    <hyperlink ref="Q20" location="HL_Sheet_Main_15" tooltip="Go to Forecast Outputs" display="HL_Sheet_Main_15"/>
    <hyperlink ref="F21" location="HL_Sheet_Main_17" tooltip="Go to Outputs" display="HL_Sheet_Main_17"/>
    <hyperlink ref="H21" location="HL_Sheet_Main_17" tooltip="Go to Outputs" display="HL_Sheet_Main_17"/>
    <hyperlink ref="Q21" location="HL_Sheet_Main_17" tooltip="Go to Outputs" display="HL_Sheet_Main_17"/>
    <hyperlink ref="H22" location="HL_TOC_21" tooltip="Go to Operational - Outputs" display="HL_TOC_21"/>
    <hyperlink ref="I22" location="HL_TOC_21" tooltip="Go to Operational - Outputs" display="HL_TOC_21"/>
    <hyperlink ref="Q22" location="HL_TOC_21" tooltip="Go to Operational - Outputs" display="HL_TOC_21"/>
    <hyperlink ref="H23" location="HL_TOC_24" tooltip="Go to Working Capital - Outputs" display="HL_TOC_24"/>
    <hyperlink ref="I23" location="HL_TOC_24" tooltip="Go to Working Capital - Outputs" display="HL_TOC_24"/>
    <hyperlink ref="Q23" location="HL_TOC_24" tooltip="Go to Working Capital - Outputs" display="HL_TOC_24"/>
    <hyperlink ref="H24" location="HL_TOC_17" tooltip="Go to Assets - Outputs" display="HL_TOC_17"/>
    <hyperlink ref="I24" location="HL_TOC_17" tooltip="Go to Assets - Outputs" display="HL_TOC_17"/>
    <hyperlink ref="Q24" location="HL_TOC_17" tooltip="Go to Assets - Outputs" display="HL_TOC_17"/>
    <hyperlink ref="H25" location="HL_TOC_15" tooltip="Go to Capital - Outputs" display="HL_TOC_15"/>
    <hyperlink ref="I25" location="HL_TOC_15" tooltip="Go to Capital - Outputs" display="HL_TOC_15"/>
    <hyperlink ref="Q25" location="HL_TOC_15" tooltip="Go to Capital - Outputs" display="HL_TOC_15"/>
    <hyperlink ref="H26" location="HL_TOC_32" tooltip="Go to Taxation - Output Summary" display="HL_TOC_32"/>
    <hyperlink ref="I26" location="HL_TOC_32" tooltip="Go to Taxation - Output Summary" display="HL_TOC_32"/>
    <hyperlink ref="Q26" location="HL_TOC_32" tooltip="Go to Taxation - Output Summary" display="HL_TOC_32"/>
    <hyperlink ref="H27" location="HL_TOC_16" tooltip="Go to Other Balance Sheet Items - Outputs" display="HL_TOC_16"/>
    <hyperlink ref="I27" location="HL_TOC_16" tooltip="Go to Other Balance Sheet Items - Outputs" display="HL_TOC_16"/>
    <hyperlink ref="Q27" location="HL_TOC_16" tooltip="Go to Other Balance Sheet Items - Outputs" display="HL_TOC_16"/>
    <hyperlink ref="D28" location="HL_Sheet_Main_18" tooltip="Go to Financial Statements" display="HL_Sheet_Main_18"/>
    <hyperlink ref="F28" location="HL_Sheet_Main_18" tooltip="Go to Financial Statements" display="HL_Sheet_Main_18"/>
    <hyperlink ref="Q28" location="HL_Sheet_Main_18" tooltip="Go to Financial Statements" display="HL_Sheet_Main_18"/>
    <hyperlink ref="F29" location="HL_Sheet_Main_35" tooltip="Go to Income Statement" display="HL_Sheet_Main_35"/>
    <hyperlink ref="H29" location="HL_Sheet_Main_35" tooltip="Go to Income Statement" display="HL_Sheet_Main_35"/>
    <hyperlink ref="Q29" location="HL_Sheet_Main_35" tooltip="Go to Income Statement" display="HL_Sheet_Main_35"/>
    <hyperlink ref="F30" location="HL_Sheet_Main_36" tooltip="Go to Balance Sheet" display="HL_Sheet_Main_36"/>
    <hyperlink ref="H30" location="HL_Sheet_Main_36" tooltip="Go to Balance Sheet" display="HL_Sheet_Main_36"/>
    <hyperlink ref="Q30" location="HL_Sheet_Main_36" tooltip="Go to Balance Sheet" display="HL_Sheet_Main_36"/>
    <hyperlink ref="F31" location="HL_Sheet_Main_37" tooltip="Go to Cash Flow Statement" display="HL_Sheet_Main_37"/>
    <hyperlink ref="H31" location="HL_Sheet_Main_37" tooltip="Go to Cash Flow Statement" display="HL_Sheet_Main_37"/>
    <hyperlink ref="Q31" location="HL_Sheet_Main_37" tooltip="Go to Cash Flow Statement" display="HL_Sheet_Main_37"/>
    <hyperlink ref="H32" location="HL_TOC_35" tooltip="Go to Direct Cash Flow Statement" display="HL_TOC_35"/>
    <hyperlink ref="I32" location="HL_TOC_35" tooltip="Go to Direct Cash Flow Statement" display="HL_TOC_35"/>
    <hyperlink ref="Q32" location="HL_TOC_35" tooltip="Go to Direct Cash Flow Statement" display="HL_TOC_35"/>
    <hyperlink ref="H33" location="HL_TOC_36" tooltip="Go to Indirect Cash Flow Statement" display="HL_TOC_36"/>
    <hyperlink ref="I33" location="HL_TOC_36" tooltip="Go to Indirect Cash Flow Statement" display="HL_TOC_36"/>
    <hyperlink ref="Q33" location="HL_TOC_36" tooltip="Go to Indirect Cash Flow Statement" display="HL_TOC_36"/>
    <hyperlink ref="H34" location="HL_TOC_14" tooltip="Go to Capital Providers - Cash Flow Reconciliation" display="HL_TOC_14"/>
    <hyperlink ref="I34" location="HL_TOC_14" tooltip="Go to Capital Providers - Cash Flow Reconciliation" display="HL_TOC_14"/>
    <hyperlink ref="Q34" location="HL_TOC_14" tooltip="Go to Capital Providers - Cash Flow Reconciliation" display="HL_TOC_14"/>
    <hyperlink ref="D35" location="HL_Sheet_Main_20" tooltip="Go to Dashboard Outputs" display="HL_Sheet_Main_20"/>
    <hyperlink ref="F35" location="HL_Sheet_Main_20" tooltip="Go to Dashboard Outputs" display="HL_Sheet_Main_20"/>
    <hyperlink ref="Q35" location="HL_Sheet_Main_20" tooltip="Go to Dashboard Outputs" display="HL_Sheet_Main_20"/>
    <hyperlink ref="F36" location="HL_Sheet_Main_19" tooltip="[Click Here To Enter Sheet Title]" display="HL_Sheet_Main_19"/>
    <hyperlink ref="H36" location="HL_Sheet_Main_19" tooltip="[Click Here To Enter Sheet Title]" display="HL_Sheet_Main_19"/>
    <hyperlink ref="Q36" location="HL_Sheet_Main_19" tooltip="[Click Here To Enter Sheet Title]" display="HL_Sheet_Main_19"/>
    <hyperlink ref="B37" location="HL_Sheet_Main_39" tooltip="Go to Appendices" display="HL_Sheet_Main_39"/>
    <hyperlink ref="D37" location="HL_Sheet_Main_39" tooltip="Go to Appendices" display="HL_Sheet_Main_39"/>
    <hyperlink ref="Q37" location="HL_Sheet_Main_39" tooltip="Go to Appendices" display="HL_Sheet_Main_39"/>
    <hyperlink ref="D38" location="HL_Sheet_Main_8" tooltip="Go to Model Imports" display="HL_Sheet_Main_8"/>
    <hyperlink ref="F38" location="HL_Sheet_Main_8" tooltip="Go to Model Imports" display="HL_Sheet_Main_8"/>
    <hyperlink ref="Q38" location="HL_Sheet_Main_8" tooltip="Go to Model Imports" display="HL_Sheet_Main_8"/>
    <hyperlink ref="F39" location="'Model_Exports_MI_TO'!A1" tooltip="Go to Model Imports (From BPM-SMA 13-Best Practice Model Example 2)" display="'Model_Exports_MI_TO'!A1"/>
    <hyperlink ref="H39" location="'Model_Exports_MI_TO'!A1" tooltip="Go to Model Imports (From BPM-SMA 13-Best Practice Model Example 2)" display="'Model_Exports_MI_TO'!A1"/>
    <hyperlink ref="Q39" location="'Model_Exports_MI_TO'!A1" tooltip="Go to Model Imports (From BPM-SMA 13-Best Practice Model Example 2)" display="'Model_Exports_MI_TO'!A1"/>
    <hyperlink ref="D40" location="HL_Sheet_Main_13" tooltip="Go to Checks" display="HL_Sheet_Main_13"/>
    <hyperlink ref="F40" location="HL_Sheet_Main_13" tooltip="Go to Checks" display="HL_Sheet_Main_13"/>
    <hyperlink ref="Q40" location="HL_Sheet_Main_13" tooltip="Go to Checks" display="HL_Sheet_Main_13"/>
    <hyperlink ref="F41" location="HL_Sheet_Main_14" tooltip="Go to Checks" display="HL_Sheet_Main_14"/>
    <hyperlink ref="H41" location="HL_Sheet_Main_14" tooltip="Go to Checks" display="HL_Sheet_Main_14"/>
    <hyperlink ref="Q41" location="HL_Sheet_Main_14" tooltip="Go to Checks" display="HL_Sheet_Main_14"/>
    <hyperlink ref="H42" location="HL_TOC_6" tooltip="Go to Error Checks" display="HL_TOC_6"/>
    <hyperlink ref="I42" location="HL_TOC_6" tooltip="Go to Error Checks" display="HL_TOC_6"/>
    <hyperlink ref="Q42" location="HL_TOC_6" tooltip="Go to Error Checks" display="HL_TOC_6"/>
    <hyperlink ref="H43" location="HL_TOC_7" tooltip="Go to Sensitivity Checks" display="HL_TOC_7"/>
    <hyperlink ref="I43" location="HL_TOC_7" tooltip="Go to Sensitivity Checks" display="HL_TOC_7"/>
    <hyperlink ref="Q43" location="HL_TOC_7" tooltip="Go to Sensitivity Checks" display="HL_TOC_7"/>
    <hyperlink ref="H44" location="HL_TOC_8" tooltip="Go to Alert Checks" display="HL_TOC_8"/>
    <hyperlink ref="I44" location="HL_TOC_8" tooltip="Go to Alert Checks" display="HL_TOC_8"/>
    <hyperlink ref="Q44" location="HL_TOC_8" tooltip="Go to Alert Checks" display="HL_TOC_8"/>
    <hyperlink ref="D45" location="HL_Sheet_Main_40" tooltip="Go to Lookup Tables" display="HL_Sheet_Main_40"/>
    <hyperlink ref="F45" location="HL_Sheet_Main_40" tooltip="Go to Lookup Tables" display="HL_Sheet_Main_40"/>
    <hyperlink ref="Q45" location="HL_Sheet_Main_40" tooltip="Go to Lookup Tables" display="HL_Sheet_Main_40"/>
    <hyperlink ref="F46" location="HL_Sheet_Main_9" tooltip="Go to Time Series Lookup Tables" display="HL_Sheet_Main_9"/>
    <hyperlink ref="H46" location="HL_Sheet_Main_9" tooltip="Go to Time Series Lookup Tables" display="HL_Sheet_Main_9"/>
    <hyperlink ref="Q46" location="HL_Sheet_Main_9" tooltip="Go to Time Series Lookup Tables" display="HL_Sheet_Main_9"/>
    <hyperlink ref="F47" location="HL_Sheet_Main_42" tooltip="Go to Capital - Lookup Tables" display="HL_Sheet_Main_42"/>
    <hyperlink ref="H47" location="HL_Sheet_Main_42" tooltip="Go to Capital - Lookup Tables" display="HL_Sheet_Main_42"/>
    <hyperlink ref="Q47" location="HL_Sheet_Main_42" tooltip="Go to Capital - Lookup Tables" display="HL_Sheet_Main_42"/>
    <hyperlink ref="F48" location="HL_Sheet_Main_27" tooltip="Go to Dashboards - Lookup Tables" display="HL_Sheet_Main_27"/>
    <hyperlink ref="H48" location="HL_Sheet_Main_27" tooltip="Go to Dashboards - Lookup Tables" display="HL_Sheet_Main_27"/>
    <hyperlink ref="Q48" location="HL_Sheet_Main_27" tooltip="Go to Dashboards - Lookup Tables" display="HL_Sheet_Main_27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302</v>
      </c>
    </row>
    <row r="10" spans="3:7" ht="16.5">
      <c r="C10" s="12" t="s">
        <v>303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28</v>
      </c>
    </row>
    <row r="18" spans="3:3">
      <c r="C18" s="15" t="s">
        <v>304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9" tooltip="Go to Previous Sheet" display="HL_Sheet_Main_19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305</v>
      </c>
    </row>
    <row r="10" spans="3:7" ht="16.5">
      <c r="C10" s="12" t="s">
        <v>306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307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'Model_Exports_MI_TO'!A1" tooltip="Go to Next Sheet" display="'Model_Exports_MI_TO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>
    <pageSetUpPr autoPageBreaks="0"/>
  </sheetPr>
  <dimension ref="A1:Q60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customWidth="1"/>
    <col min="6" max="17" width="11.83203125" customWidth="1"/>
  </cols>
  <sheetData>
    <row r="1" spans="1:17" ht="18" customHeight="1">
      <c r="A1" s="178"/>
      <c r="B1" s="179" t="s">
        <v>308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</row>
    <row r="2" spans="1:17" ht="15" customHeight="1">
      <c r="A2" s="178"/>
      <c r="B2" s="180" t="str">
        <f>Model_Name</f>
        <v>SMA 13. Multiple Workbooks - Best Practice Model Example 1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</row>
    <row r="3" spans="1:17" ht="10.5" customHeight="1">
      <c r="A3" s="178"/>
      <c r="B3" s="288" t="s">
        <v>1</v>
      </c>
      <c r="C3" s="288"/>
      <c r="D3" s="288"/>
      <c r="E3" s="288"/>
      <c r="F3" s="28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</row>
    <row r="4" spans="1:17" ht="12.75" customHeight="1">
      <c r="A4" s="181" t="s">
        <v>10</v>
      </c>
      <c r="B4" s="182" t="s">
        <v>26</v>
      </c>
      <c r="C4" s="183" t="s">
        <v>27</v>
      </c>
      <c r="D4" s="184" t="s">
        <v>38</v>
      </c>
      <c r="E4" s="184" t="s">
        <v>39</v>
      </c>
      <c r="F4" s="184" t="s">
        <v>40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17" ht="10.5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</row>
    <row r="6" spans="1:17" ht="10.5" customHeight="1">
      <c r="A6" s="108"/>
      <c r="B6" s="185" t="str">
        <f>[1]Model_Exports_ME_TO!B6</f>
        <v/>
      </c>
      <c r="C6" s="108"/>
      <c r="D6" s="108"/>
      <c r="E6" s="108"/>
      <c r="F6" s="108"/>
      <c r="G6" s="108"/>
      <c r="H6" s="108"/>
      <c r="I6" s="108"/>
      <c r="J6" s="186" t="str">
        <f>[1]Model_Exports_ME_TO!J6</f>
        <v xml:space="preserve"> </v>
      </c>
      <c r="K6" s="186" t="str">
        <f>[1]Model_Exports_ME_TO!K6</f>
        <v xml:space="preserve"> </v>
      </c>
      <c r="L6" s="186" t="str">
        <f>[1]Model_Exports_ME_TO!L6</f>
        <v xml:space="preserve"> </v>
      </c>
      <c r="M6" s="186" t="str">
        <f>[1]Model_Exports_ME_TO!M6</f>
        <v xml:space="preserve"> </v>
      </c>
      <c r="N6" s="186" t="str">
        <f>[1]Model_Exports_ME_TO!N6</f>
        <v xml:space="preserve"> </v>
      </c>
      <c r="O6" s="186" t="str">
        <f>[1]Model_Exports_ME_TO!O6</f>
        <v xml:space="preserve"> </v>
      </c>
      <c r="P6" s="186" t="str">
        <f>[1]Model_Exports_ME_TO!P6</f>
        <v xml:space="preserve"> </v>
      </c>
      <c r="Q6" s="186" t="str">
        <f>[1]Model_Exports_ME_TO!Q6</f>
        <v xml:space="preserve"> </v>
      </c>
    </row>
    <row r="7" spans="1:17" ht="10.5" customHeight="1">
      <c r="A7" s="108"/>
      <c r="B7" s="187" t="str">
        <f>[1]Model_Exports_ME_TO!B7</f>
        <v>Year Ending 31 December</v>
      </c>
      <c r="C7" s="188"/>
      <c r="D7" s="188"/>
      <c r="E7" s="188"/>
      <c r="F7" s="188"/>
      <c r="G7" s="188"/>
      <c r="H7" s="188"/>
      <c r="I7" s="188"/>
      <c r="J7" s="189" t="str">
        <f>[1]Model_Exports_ME_TO!J7</f>
        <v xml:space="preserve">2010 (F) </v>
      </c>
      <c r="K7" s="189" t="str">
        <f>[1]Model_Exports_ME_TO!K7</f>
        <v xml:space="preserve">2011 (F) </v>
      </c>
      <c r="L7" s="189" t="str">
        <f>[1]Model_Exports_ME_TO!L7</f>
        <v xml:space="preserve">2012 (F) </v>
      </c>
      <c r="M7" s="189" t="str">
        <f>[1]Model_Exports_ME_TO!M7</f>
        <v xml:space="preserve">2013 (F) </v>
      </c>
      <c r="N7" s="189" t="str">
        <f>[1]Model_Exports_ME_TO!N7</f>
        <v xml:space="preserve">2014 (F) </v>
      </c>
      <c r="O7" s="189" t="str">
        <f>[1]Model_Exports_ME_TO!O7</f>
        <v xml:space="preserve">2015 (F) </v>
      </c>
      <c r="P7" s="189" t="str">
        <f>[1]Model_Exports_ME_TO!P7</f>
        <v xml:space="preserve">2016 (F) </v>
      </c>
      <c r="Q7" s="189" t="str">
        <f>[1]Model_Exports_ME_TO!Q7</f>
        <v xml:space="preserve">2017 (F) </v>
      </c>
    </row>
    <row r="8" spans="1:17" hidden="1" outlineLevel="2">
      <c r="A8" s="108"/>
      <c r="B8" s="190" t="str">
        <f>[1]Model_Exports_ME_TO!B8</f>
        <v>Period Start Date (From Start of Day...)</v>
      </c>
      <c r="C8" s="108"/>
      <c r="D8" s="108"/>
      <c r="E8" s="108"/>
      <c r="F8" s="108"/>
      <c r="G8" s="108"/>
      <c r="H8" s="108"/>
      <c r="I8" s="108"/>
      <c r="J8" s="191">
        <f>[1]Model_Exports_ME_TO!J8</f>
        <v>40179</v>
      </c>
      <c r="K8" s="191">
        <f>[1]Model_Exports_ME_TO!K8</f>
        <v>40544</v>
      </c>
      <c r="L8" s="191">
        <f>[1]Model_Exports_ME_TO!L8</f>
        <v>40909</v>
      </c>
      <c r="M8" s="191">
        <f>[1]Model_Exports_ME_TO!M8</f>
        <v>41275</v>
      </c>
      <c r="N8" s="191">
        <f>[1]Model_Exports_ME_TO!N8</f>
        <v>41640</v>
      </c>
      <c r="O8" s="191">
        <f>[1]Model_Exports_ME_TO!O8</f>
        <v>42005</v>
      </c>
      <c r="P8" s="191">
        <f>[1]Model_Exports_ME_TO!P8</f>
        <v>42370</v>
      </c>
      <c r="Q8" s="191">
        <f>[1]Model_Exports_ME_TO!Q8</f>
        <v>42736</v>
      </c>
    </row>
    <row r="9" spans="1:17" hidden="1" outlineLevel="2">
      <c r="A9" s="108"/>
      <c r="B9" s="190" t="str">
        <f>[1]Model_Exports_ME_TO!B9</f>
        <v>Period End Date (Until End of Day...)</v>
      </c>
      <c r="C9" s="108"/>
      <c r="D9" s="108"/>
      <c r="E9" s="108"/>
      <c r="F9" s="108"/>
      <c r="G9" s="108"/>
      <c r="H9" s="108"/>
      <c r="I9" s="108"/>
      <c r="J9" s="191">
        <f>[1]Model_Exports_ME_TO!J9</f>
        <v>40543</v>
      </c>
      <c r="K9" s="191">
        <f>[1]Model_Exports_ME_TO!K9</f>
        <v>40908</v>
      </c>
      <c r="L9" s="191">
        <f>[1]Model_Exports_ME_TO!L9</f>
        <v>41274</v>
      </c>
      <c r="M9" s="191">
        <f>[1]Model_Exports_ME_TO!M9</f>
        <v>41639</v>
      </c>
      <c r="N9" s="191">
        <f>[1]Model_Exports_ME_TO!N9</f>
        <v>42004</v>
      </c>
      <c r="O9" s="191">
        <f>[1]Model_Exports_ME_TO!O9</f>
        <v>42369</v>
      </c>
      <c r="P9" s="191">
        <f>[1]Model_Exports_ME_TO!P9</f>
        <v>42735</v>
      </c>
      <c r="Q9" s="191">
        <f>[1]Model_Exports_ME_TO!Q9</f>
        <v>43100</v>
      </c>
    </row>
    <row r="10" spans="1:17" hidden="1" outlineLevel="2">
      <c r="A10" s="108"/>
      <c r="B10" s="190" t="str">
        <f>[1]Model_Exports_ME_TO!B10</f>
        <v>Financial Year</v>
      </c>
      <c r="C10" s="108"/>
      <c r="D10" s="108"/>
      <c r="E10" s="108"/>
      <c r="F10" s="108"/>
      <c r="G10" s="108"/>
      <c r="H10" s="108"/>
      <c r="I10" s="108"/>
      <c r="J10" s="192">
        <f>[1]Model_Exports_ME_TO!J10</f>
        <v>2010</v>
      </c>
      <c r="K10" s="192">
        <f>[1]Model_Exports_ME_TO!K10</f>
        <v>2011</v>
      </c>
      <c r="L10" s="192">
        <f>[1]Model_Exports_ME_TO!L10</f>
        <v>2012</v>
      </c>
      <c r="M10" s="192">
        <f>[1]Model_Exports_ME_TO!M10</f>
        <v>2013</v>
      </c>
      <c r="N10" s="192">
        <f>[1]Model_Exports_ME_TO!N10</f>
        <v>2014</v>
      </c>
      <c r="O10" s="192">
        <f>[1]Model_Exports_ME_TO!O10</f>
        <v>2015</v>
      </c>
      <c r="P10" s="192">
        <f>[1]Model_Exports_ME_TO!P10</f>
        <v>2016</v>
      </c>
      <c r="Q10" s="192">
        <f>[1]Model_Exports_ME_TO!Q10</f>
        <v>2017</v>
      </c>
    </row>
    <row r="11" spans="1:17" hidden="1" outlineLevel="2">
      <c r="A11" s="108"/>
      <c r="B11" s="190" t="str">
        <f>[1]Model_Exports_ME_TO!B11</f>
        <v>Financial Year Period</v>
      </c>
      <c r="C11" s="108"/>
      <c r="D11" s="108"/>
      <c r="E11" s="108"/>
      <c r="F11" s="108"/>
      <c r="G11" s="108"/>
      <c r="H11" s="108"/>
      <c r="I11" s="108"/>
      <c r="J11" s="193" t="str">
        <f>[1]Model_Exports_ME_TO!J11</f>
        <v xml:space="preserve">Year </v>
      </c>
      <c r="K11" s="193" t="str">
        <f>[1]Model_Exports_ME_TO!K11</f>
        <v xml:space="preserve">Year </v>
      </c>
      <c r="L11" s="193" t="str">
        <f>[1]Model_Exports_ME_TO!L11</f>
        <v xml:space="preserve">Year </v>
      </c>
      <c r="M11" s="193" t="str">
        <f>[1]Model_Exports_ME_TO!M11</f>
        <v xml:space="preserve">Year </v>
      </c>
      <c r="N11" s="193" t="str">
        <f>[1]Model_Exports_ME_TO!N11</f>
        <v xml:space="preserve">Year </v>
      </c>
      <c r="O11" s="193" t="str">
        <f>[1]Model_Exports_ME_TO!O11</f>
        <v xml:space="preserve">Year </v>
      </c>
      <c r="P11" s="193" t="str">
        <f>[1]Model_Exports_ME_TO!P11</f>
        <v xml:space="preserve">Year </v>
      </c>
      <c r="Q11" s="193" t="str">
        <f>[1]Model_Exports_ME_TO!Q11</f>
        <v xml:space="preserve">Year </v>
      </c>
    </row>
    <row r="12" spans="1:17" hidden="1" outlineLevel="2">
      <c r="A12" s="108"/>
      <c r="B12" s="190" t="str">
        <f>[1]Model_Exports_ME_TO!B12</f>
        <v>Counter</v>
      </c>
      <c r="C12" s="108"/>
      <c r="D12" s="108"/>
      <c r="E12" s="108"/>
      <c r="F12" s="108"/>
      <c r="G12" s="108"/>
      <c r="H12" s="108"/>
      <c r="I12" s="108"/>
      <c r="J12" s="194">
        <f>[1]Model_Exports_ME_TO!J12</f>
        <v>1</v>
      </c>
      <c r="K12" s="194">
        <f>[1]Model_Exports_ME_TO!K12</f>
        <v>2</v>
      </c>
      <c r="L12" s="194">
        <f>[1]Model_Exports_ME_TO!L12</f>
        <v>3</v>
      </c>
      <c r="M12" s="194">
        <f>[1]Model_Exports_ME_TO!M12</f>
        <v>4</v>
      </c>
      <c r="N12" s="194">
        <f>[1]Model_Exports_ME_TO!N12</f>
        <v>5</v>
      </c>
      <c r="O12" s="194">
        <f>[1]Model_Exports_ME_TO!O12</f>
        <v>6</v>
      </c>
      <c r="P12" s="194">
        <f>[1]Model_Exports_ME_TO!P12</f>
        <v>7</v>
      </c>
      <c r="Q12" s="194">
        <f>[1]Model_Exports_ME_TO!Q12</f>
        <v>8</v>
      </c>
    </row>
    <row r="13" spans="1:17" hidden="1" outlineLevel="2">
      <c r="A13" s="108"/>
      <c r="B13" s="195" t="str">
        <f>[1]Model_Exports_ME_TO!B13</f>
        <v>Period Key</v>
      </c>
      <c r="C13" s="188"/>
      <c r="D13" s="188"/>
      <c r="E13" s="188"/>
      <c r="F13" s="188"/>
      <c r="G13" s="188"/>
      <c r="H13" s="188"/>
      <c r="I13" s="188"/>
      <c r="J13" s="196" t="str">
        <f>[1]Model_Exports_ME_TO!J13</f>
        <v xml:space="preserve">2010-Year </v>
      </c>
      <c r="K13" s="196" t="str">
        <f>[1]Model_Exports_ME_TO!K13</f>
        <v xml:space="preserve">2011-Year </v>
      </c>
      <c r="L13" s="196" t="str">
        <f>[1]Model_Exports_ME_TO!L13</f>
        <v xml:space="preserve">2012-Year </v>
      </c>
      <c r="M13" s="196" t="str">
        <f>[1]Model_Exports_ME_TO!M13</f>
        <v xml:space="preserve">2013-Year </v>
      </c>
      <c r="N13" s="196" t="str">
        <f>[1]Model_Exports_ME_TO!N13</f>
        <v xml:space="preserve">2014-Year </v>
      </c>
      <c r="O13" s="196" t="str">
        <f>[1]Model_Exports_ME_TO!O13</f>
        <v xml:space="preserve">2015-Year </v>
      </c>
      <c r="P13" s="196" t="str">
        <f>[1]Model_Exports_ME_TO!P13</f>
        <v xml:space="preserve">2016-Year </v>
      </c>
      <c r="Q13" s="196" t="str">
        <f>[1]Model_Exports_ME_TO!Q13</f>
        <v xml:space="preserve">2017-Year </v>
      </c>
    </row>
    <row r="14" spans="1:17" ht="10.5" customHeight="1" collapsed="1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</row>
    <row r="15" spans="1:17" ht="10.5" customHeight="1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</row>
    <row r="16" spans="1:17" ht="12.75" customHeight="1">
      <c r="A16" s="108"/>
      <c r="B16" s="197" t="str">
        <f>[1]Model_Exports_ME_TO!B16</f>
        <v>Operational - Outputs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</row>
    <row r="17" spans="1:17" ht="10.5" customHeight="1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</row>
    <row r="18" spans="1:17" ht="10.5" customHeight="1">
      <c r="A18" s="108"/>
      <c r="B18" s="108"/>
      <c r="C18" s="198" t="str">
        <f>[1]Model_Exports_ME_TO!C18</f>
        <v>Revenue</v>
      </c>
      <c r="D18" s="108"/>
      <c r="E18" s="108"/>
      <c r="F18" s="108"/>
      <c r="G18" s="108"/>
      <c r="H18" s="108"/>
      <c r="I18" s="108"/>
      <c r="J18" s="199">
        <f>[1]Model_Exports_ME_TO!J18</f>
        <v>125</v>
      </c>
      <c r="K18" s="199">
        <f>[1]Model_Exports_ME_TO!K18</f>
        <v>128.125</v>
      </c>
      <c r="L18" s="199">
        <f>[1]Model_Exports_ME_TO!L18</f>
        <v>131.328125</v>
      </c>
      <c r="M18" s="199">
        <f>[1]Model_Exports_ME_TO!M18</f>
        <v>134.611328125</v>
      </c>
      <c r="N18" s="199">
        <f>[1]Model_Exports_ME_TO!N18</f>
        <v>137.97661132812499</v>
      </c>
      <c r="O18" s="199">
        <f>[1]Model_Exports_ME_TO!O18</f>
        <v>141.4260266113281</v>
      </c>
      <c r="P18" s="199">
        <f>[1]Model_Exports_ME_TO!P18</f>
        <v>144.96167727661128</v>
      </c>
      <c r="Q18" s="199">
        <f>[1]Model_Exports_ME_TO!Q18</f>
        <v>148.58571920852654</v>
      </c>
    </row>
    <row r="19" spans="1:17" ht="10.5" customHeight="1">
      <c r="A19" s="108"/>
      <c r="B19" s="108"/>
      <c r="C19" s="198" t="str">
        <f>[1]Model_Exports_ME_TO!C19</f>
        <v>Cost of Goods Sold</v>
      </c>
      <c r="D19" s="108"/>
      <c r="E19" s="108"/>
      <c r="F19" s="108"/>
      <c r="G19" s="108"/>
      <c r="H19" s="108"/>
      <c r="I19" s="108"/>
      <c r="J19" s="199">
        <f>[1]Model_Exports_ME_TO!J19</f>
        <v>25</v>
      </c>
      <c r="K19" s="199">
        <f>[1]Model_Exports_ME_TO!K19</f>
        <v>25.624999999999996</v>
      </c>
      <c r="L19" s="199">
        <f>[1]Model_Exports_ME_TO!L19</f>
        <v>26.265624999999993</v>
      </c>
      <c r="M19" s="199">
        <f>[1]Model_Exports_ME_TO!M19</f>
        <v>26.922265624999991</v>
      </c>
      <c r="N19" s="199">
        <f>[1]Model_Exports_ME_TO!N19</f>
        <v>27.59532226562499</v>
      </c>
      <c r="O19" s="199">
        <f>[1]Model_Exports_ME_TO!O19</f>
        <v>28.285205322265611</v>
      </c>
      <c r="P19" s="199">
        <f>[1]Model_Exports_ME_TO!P19</f>
        <v>28.992335455322248</v>
      </c>
      <c r="Q19" s="199">
        <f>[1]Model_Exports_ME_TO!Q19</f>
        <v>29.717143841705301</v>
      </c>
    </row>
    <row r="20" spans="1:17" ht="10.5" customHeight="1">
      <c r="A20" s="108"/>
      <c r="B20" s="108"/>
      <c r="C20" s="198" t="str">
        <f>[1]Model_Exports_ME_TO!C20</f>
        <v>Operating Expenditure</v>
      </c>
      <c r="D20" s="108"/>
      <c r="E20" s="108"/>
      <c r="F20" s="108"/>
      <c r="G20" s="108"/>
      <c r="H20" s="108"/>
      <c r="I20" s="108"/>
      <c r="J20" s="199">
        <f>[1]Model_Exports_ME_TO!J20</f>
        <v>40</v>
      </c>
      <c r="K20" s="199">
        <f>[1]Model_Exports_ME_TO!K20</f>
        <v>41</v>
      </c>
      <c r="L20" s="199">
        <f>[1]Model_Exports_ME_TO!L20</f>
        <v>42.024999999999999</v>
      </c>
      <c r="M20" s="199">
        <f>[1]Model_Exports_ME_TO!M20</f>
        <v>43.075624999999995</v>
      </c>
      <c r="N20" s="199">
        <f>[1]Model_Exports_ME_TO!N20</f>
        <v>44.152515624999992</v>
      </c>
      <c r="O20" s="199">
        <f>[1]Model_Exports_ME_TO!O20</f>
        <v>45.256328515624986</v>
      </c>
      <c r="P20" s="199">
        <f>[1]Model_Exports_ME_TO!P20</f>
        <v>46.387736728515605</v>
      </c>
      <c r="Q20" s="199">
        <f>[1]Model_Exports_ME_TO!Q20</f>
        <v>47.547430146728495</v>
      </c>
    </row>
    <row r="21" spans="1:17" ht="10.5" customHeight="1">
      <c r="A21" s="108"/>
      <c r="B21" s="108"/>
      <c r="C21" s="198" t="str">
        <f>[1]Model_Exports_ME_TO!C21</f>
        <v>Capital Expenditure - Assets</v>
      </c>
      <c r="D21" s="108"/>
      <c r="E21" s="108"/>
      <c r="F21" s="108"/>
      <c r="G21" s="108"/>
      <c r="H21" s="108"/>
      <c r="I21" s="108"/>
      <c r="J21" s="199">
        <f>[1]Model_Exports_ME_TO!J21</f>
        <v>15</v>
      </c>
      <c r="K21" s="199">
        <f>[1]Model_Exports_ME_TO!K21</f>
        <v>15.374999999999998</v>
      </c>
      <c r="L21" s="199">
        <f>[1]Model_Exports_ME_TO!L21</f>
        <v>15.759374999999997</v>
      </c>
      <c r="M21" s="199">
        <f>[1]Model_Exports_ME_TO!M21</f>
        <v>16.153359374999994</v>
      </c>
      <c r="N21" s="199">
        <f>[1]Model_Exports_ME_TO!N21</f>
        <v>16.557193359374992</v>
      </c>
      <c r="O21" s="199">
        <f>[1]Model_Exports_ME_TO!O21</f>
        <v>16.971123193359364</v>
      </c>
      <c r="P21" s="199">
        <f>[1]Model_Exports_ME_TO!P21</f>
        <v>17.395401273193347</v>
      </c>
      <c r="Q21" s="199">
        <f>[1]Model_Exports_ME_TO!Q21</f>
        <v>17.830286305023179</v>
      </c>
    </row>
    <row r="22" spans="1:17" ht="10.5" customHeight="1">
      <c r="A22" s="108"/>
      <c r="B22" s="108"/>
      <c r="C22" s="198" t="str">
        <f>[1]Model_Exports_ME_TO!C22</f>
        <v>Capital Expenditure - Intangibles</v>
      </c>
      <c r="D22" s="108"/>
      <c r="E22" s="108"/>
      <c r="F22" s="108"/>
      <c r="G22" s="108"/>
      <c r="H22" s="108"/>
      <c r="I22" s="108"/>
      <c r="J22" s="199">
        <f>[1]Model_Exports_ME_TO!J22</f>
        <v>2.5</v>
      </c>
      <c r="K22" s="199">
        <f>[1]Model_Exports_ME_TO!K22</f>
        <v>2.5625</v>
      </c>
      <c r="L22" s="199">
        <f>[1]Model_Exports_ME_TO!L22</f>
        <v>2.6265624999999999</v>
      </c>
      <c r="M22" s="199">
        <f>[1]Model_Exports_ME_TO!M22</f>
        <v>2.6922265624999997</v>
      </c>
      <c r="N22" s="199">
        <f>[1]Model_Exports_ME_TO!N22</f>
        <v>2.7595322265624995</v>
      </c>
      <c r="O22" s="199">
        <f>[1]Model_Exports_ME_TO!O22</f>
        <v>2.8285205322265616</v>
      </c>
      <c r="P22" s="199">
        <f>[1]Model_Exports_ME_TO!P22</f>
        <v>2.8992335455322253</v>
      </c>
      <c r="Q22" s="199">
        <f>[1]Model_Exports_ME_TO!Q22</f>
        <v>2.9717143841705309</v>
      </c>
    </row>
    <row r="23" spans="1:17" ht="10.5" customHeight="1">
      <c r="A23" s="108"/>
      <c r="B23" s="108"/>
      <c r="C23" s="200"/>
      <c r="D23" s="108"/>
      <c r="E23" s="108"/>
      <c r="F23" s="108"/>
      <c r="G23" s="108"/>
      <c r="H23" s="108"/>
      <c r="I23" s="108"/>
      <c r="J23" s="136"/>
      <c r="K23" s="136"/>
      <c r="L23" s="136"/>
      <c r="M23" s="136"/>
      <c r="N23" s="136"/>
      <c r="O23" s="136"/>
      <c r="P23" s="136"/>
      <c r="Q23" s="136"/>
    </row>
    <row r="24" spans="1:17" ht="10.5" customHeight="1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</row>
    <row r="25" spans="1:17" ht="12.75" customHeight="1">
      <c r="A25" s="108"/>
      <c r="B25" s="197" t="str">
        <f>[1]Model_Exports_ME_TO!B25</f>
        <v>Working Capital - Outputs</v>
      </c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</row>
    <row r="26" spans="1:17" ht="12.75" customHeight="1">
      <c r="A26" s="108"/>
      <c r="B26" s="201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17" ht="11.25" customHeight="1">
      <c r="A27" s="108"/>
      <c r="B27" s="108"/>
      <c r="C27" s="202" t="str">
        <f>[1]Model_Exports_ME_TO!C27</f>
        <v>Accounts Receivable Balances ($Millions)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17" ht="10.5" customHeight="1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0.5" customHeight="1">
      <c r="A29" s="108"/>
      <c r="B29" s="108"/>
      <c r="C29" s="108"/>
      <c r="D29" s="198" t="str">
        <f>[1]Model_Exports_ME_TO!D29</f>
        <v>Opening Balance</v>
      </c>
      <c r="E29" s="108"/>
      <c r="F29" s="108"/>
      <c r="G29" s="108"/>
      <c r="H29" s="108"/>
      <c r="I29" s="108"/>
      <c r="J29" s="199">
        <f>[1]Model_Exports_ME_TO!J29</f>
        <v>21</v>
      </c>
      <c r="K29" s="199">
        <f>[1]Model_Exports_ME_TO!K29</f>
        <v>10.273972602739725</v>
      </c>
      <c r="L29" s="199">
        <f>[1]Model_Exports_ME_TO!L29</f>
        <v>10.530821917808218</v>
      </c>
      <c r="M29" s="199">
        <f>[1]Model_Exports_ME_TO!M29</f>
        <v>10.764600409836065</v>
      </c>
      <c r="N29" s="199">
        <f>[1]Model_Exports_ME_TO!N29</f>
        <v>11.063944777397261</v>
      </c>
      <c r="O29" s="199">
        <f>[1]Model_Exports_ME_TO!O29</f>
        <v>11.340543396832192</v>
      </c>
      <c r="P29" s="199">
        <f>[1]Model_Exports_ME_TO!P29</f>
        <v>11.624056981752995</v>
      </c>
      <c r="Q29" s="199">
        <f>[1]Model_Exports_ME_TO!Q29</f>
        <v>11.882104694804204</v>
      </c>
    </row>
    <row r="30" spans="1:17" ht="10.5" customHeight="1">
      <c r="A30" s="108"/>
      <c r="B30" s="108"/>
      <c r="C30" s="108"/>
      <c r="D30" s="198" t="str">
        <f>[1]Model_Exports_ME_TO!D30</f>
        <v>Revenue</v>
      </c>
      <c r="E30" s="108"/>
      <c r="F30" s="108"/>
      <c r="G30" s="108"/>
      <c r="H30" s="108"/>
      <c r="I30" s="108"/>
      <c r="J30" s="199">
        <f>[1]Model_Exports_ME_TO!J30</f>
        <v>125</v>
      </c>
      <c r="K30" s="199">
        <f>[1]Model_Exports_ME_TO!K30</f>
        <v>128.125</v>
      </c>
      <c r="L30" s="199">
        <f>[1]Model_Exports_ME_TO!L30</f>
        <v>131.328125</v>
      </c>
      <c r="M30" s="199">
        <f>[1]Model_Exports_ME_TO!M30</f>
        <v>134.611328125</v>
      </c>
      <c r="N30" s="199">
        <f>[1]Model_Exports_ME_TO!N30</f>
        <v>137.97661132812499</v>
      </c>
      <c r="O30" s="199">
        <f>[1]Model_Exports_ME_TO!O30</f>
        <v>141.4260266113281</v>
      </c>
      <c r="P30" s="199">
        <f>[1]Model_Exports_ME_TO!P30</f>
        <v>144.96167727661128</v>
      </c>
      <c r="Q30" s="199">
        <f>[1]Model_Exports_ME_TO!Q30</f>
        <v>148.58571920852654</v>
      </c>
    </row>
    <row r="31" spans="1:17" ht="10.5" customHeight="1">
      <c r="A31" s="203"/>
      <c r="B31" s="203"/>
      <c r="C31" s="203"/>
      <c r="D31" s="204" t="str">
        <f>[1]Model_Exports_ME_TO!D31</f>
        <v>Cash Receipts</v>
      </c>
      <c r="E31" s="203"/>
      <c r="F31" s="203"/>
      <c r="G31" s="203"/>
      <c r="H31" s="203"/>
      <c r="I31" s="203"/>
      <c r="J31" s="205">
        <f>[1]Model_Exports_ME_TO!J31</f>
        <v>-135.72602739726028</v>
      </c>
      <c r="K31" s="205">
        <f>[1]Model_Exports_ME_TO!K31</f>
        <v>-127.86815068493149</v>
      </c>
      <c r="L31" s="205">
        <f>[1]Model_Exports_ME_TO!L31</f>
        <v>-131.09434650797215</v>
      </c>
      <c r="M31" s="205">
        <f>[1]Model_Exports_ME_TO!M31</f>
        <v>-134.31198375743881</v>
      </c>
      <c r="N31" s="205">
        <f>[1]Model_Exports_ME_TO!N31</f>
        <v>-137.70001270869005</v>
      </c>
      <c r="O31" s="205">
        <f>[1]Model_Exports_ME_TO!O31</f>
        <v>-141.1425130264073</v>
      </c>
      <c r="P31" s="205">
        <f>[1]Model_Exports_ME_TO!P31</f>
        <v>-144.70362956356007</v>
      </c>
      <c r="Q31" s="205">
        <f>[1]Model_Exports_ME_TO!Q31</f>
        <v>-148.25529903687652</v>
      </c>
    </row>
    <row r="32" spans="1:17" ht="10.5" customHeight="1">
      <c r="A32" s="108"/>
      <c r="B32" s="108"/>
      <c r="C32" s="108"/>
      <c r="D32" s="206" t="str">
        <f>[1]Model_Exports_ME_TO!D32</f>
        <v>Movement in Accounts Receivable</v>
      </c>
      <c r="E32" s="108"/>
      <c r="F32" s="108"/>
      <c r="G32" s="108"/>
      <c r="H32" s="108"/>
      <c r="I32" s="108"/>
      <c r="J32" s="207">
        <f>[1]Model_Exports_ME_TO!J32</f>
        <v>-10.726027397260282</v>
      </c>
      <c r="K32" s="207">
        <f>[1]Model_Exports_ME_TO!K32</f>
        <v>0.25684931506850717</v>
      </c>
      <c r="L32" s="207">
        <f>[1]Model_Exports_ME_TO!L32</f>
        <v>0.23377849202785228</v>
      </c>
      <c r="M32" s="207">
        <f>[1]Model_Exports_ME_TO!M32</f>
        <v>0.29934436756118998</v>
      </c>
      <c r="N32" s="207">
        <f>[1]Model_Exports_ME_TO!N32</f>
        <v>0.27659861943493524</v>
      </c>
      <c r="O32" s="207">
        <f>[1]Model_Exports_ME_TO!O32</f>
        <v>0.28351358492079726</v>
      </c>
      <c r="P32" s="207">
        <f>[1]Model_Exports_ME_TO!P32</f>
        <v>0.25804771305121221</v>
      </c>
      <c r="Q32" s="207">
        <f>[1]Model_Exports_ME_TO!Q32</f>
        <v>0.3304201716500188</v>
      </c>
    </row>
    <row r="33" spans="1:17" ht="10.5" customHeight="1">
      <c r="A33" s="108"/>
      <c r="B33" s="108"/>
      <c r="C33" s="108"/>
      <c r="D33" s="208" t="str">
        <f>[1]Model_Exports_ME_TO!D33</f>
        <v>Closing Balance</v>
      </c>
      <c r="E33" s="108"/>
      <c r="F33" s="108"/>
      <c r="G33" s="108"/>
      <c r="H33" s="108"/>
      <c r="I33" s="108"/>
      <c r="J33" s="209">
        <f>[1]Model_Exports_ME_TO!J33</f>
        <v>10.273972602739725</v>
      </c>
      <c r="K33" s="209">
        <f>[1]Model_Exports_ME_TO!K33</f>
        <v>10.530821917808218</v>
      </c>
      <c r="L33" s="209">
        <f>[1]Model_Exports_ME_TO!L33</f>
        <v>10.764600409836065</v>
      </c>
      <c r="M33" s="209">
        <f>[1]Model_Exports_ME_TO!M33</f>
        <v>11.063944777397261</v>
      </c>
      <c r="N33" s="209">
        <f>[1]Model_Exports_ME_TO!N33</f>
        <v>11.340543396832192</v>
      </c>
      <c r="O33" s="209">
        <f>[1]Model_Exports_ME_TO!O33</f>
        <v>11.624056981752995</v>
      </c>
      <c r="P33" s="209">
        <f>[1]Model_Exports_ME_TO!P33</f>
        <v>11.882104694804204</v>
      </c>
      <c r="Q33" s="209">
        <f>[1]Model_Exports_ME_TO!Q33</f>
        <v>12.212524866454237</v>
      </c>
    </row>
    <row r="34" spans="1:17" ht="10.5" customHeight="1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</row>
    <row r="35" spans="1:17" ht="11.25" customHeight="1">
      <c r="A35" s="108"/>
      <c r="B35" s="108"/>
      <c r="C35" s="202" t="str">
        <f>[1]Model_Exports_ME_TO!C35</f>
        <v>Accounts Payable Balances ($Millions)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</row>
    <row r="36" spans="1:17" ht="11.25" customHeight="1">
      <c r="A36" s="108"/>
      <c r="B36" s="108"/>
      <c r="C36" s="210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</row>
    <row r="37" spans="1:17" ht="10.5" customHeight="1">
      <c r="A37" s="108"/>
      <c r="B37" s="108"/>
      <c r="C37" s="108"/>
      <c r="D37" s="198" t="str">
        <f>[1]Model_Exports_ME_TO!D37</f>
        <v>Opening Balance</v>
      </c>
      <c r="E37" s="108"/>
      <c r="F37" s="108"/>
      <c r="G37" s="108"/>
      <c r="H37" s="108"/>
      <c r="I37" s="108"/>
      <c r="J37" s="199">
        <f>[1]Model_Exports_ME_TO!J37</f>
        <v>16</v>
      </c>
      <c r="K37" s="199">
        <f>[1]Model_Exports_ME_TO!K37</f>
        <v>8.0136986301369859</v>
      </c>
      <c r="L37" s="199">
        <f>[1]Model_Exports_ME_TO!L37</f>
        <v>8.2140410958904102</v>
      </c>
      <c r="M37" s="199">
        <f>[1]Model_Exports_ME_TO!M37</f>
        <v>8.3963883196721305</v>
      </c>
      <c r="N37" s="199">
        <f>[1]Model_Exports_ME_TO!N37</f>
        <v>8.629876926369862</v>
      </c>
      <c r="O37" s="199">
        <f>[1]Model_Exports_ME_TO!O37</f>
        <v>8.8456238495291082</v>
      </c>
      <c r="P37" s="199">
        <f>[1]Model_Exports_ME_TO!P37</f>
        <v>9.0667644457673351</v>
      </c>
      <c r="Q37" s="199">
        <f>[1]Model_Exports_ME_TO!Q37</f>
        <v>9.2680416619472759</v>
      </c>
    </row>
    <row r="38" spans="1:17" ht="10.5" customHeight="1">
      <c r="A38" s="108"/>
      <c r="B38" s="108"/>
      <c r="C38" s="108"/>
      <c r="D38" s="198" t="str">
        <f>[1]Model_Exports_ME_TO!D38</f>
        <v>Costs</v>
      </c>
      <c r="E38" s="108"/>
      <c r="F38" s="108"/>
      <c r="G38" s="108"/>
      <c r="H38" s="108"/>
      <c r="I38" s="108"/>
      <c r="J38" s="199">
        <f>[1]Model_Exports_ME_TO!J38</f>
        <v>65</v>
      </c>
      <c r="K38" s="199">
        <f>[1]Model_Exports_ME_TO!K38</f>
        <v>66.625</v>
      </c>
      <c r="L38" s="199">
        <f>[1]Model_Exports_ME_TO!L38</f>
        <v>68.290624999999991</v>
      </c>
      <c r="M38" s="199">
        <f>[1]Model_Exports_ME_TO!M38</f>
        <v>69.997890624999982</v>
      </c>
      <c r="N38" s="199">
        <f>[1]Model_Exports_ME_TO!N38</f>
        <v>71.747837890624979</v>
      </c>
      <c r="O38" s="199">
        <f>[1]Model_Exports_ME_TO!O38</f>
        <v>73.541533837890597</v>
      </c>
      <c r="P38" s="199">
        <f>[1]Model_Exports_ME_TO!P38</f>
        <v>75.380072183837854</v>
      </c>
      <c r="Q38" s="199">
        <f>[1]Model_Exports_ME_TO!Q38</f>
        <v>77.264573988433796</v>
      </c>
    </row>
    <row r="39" spans="1:17" ht="10.5" customHeight="1">
      <c r="A39" s="203"/>
      <c r="B39" s="203"/>
      <c r="C39" s="203"/>
      <c r="D39" s="204" t="str">
        <f>[1]Model_Exports_ME_TO!D39</f>
        <v>Cash Payments</v>
      </c>
      <c r="E39" s="203"/>
      <c r="F39" s="203"/>
      <c r="G39" s="203"/>
      <c r="H39" s="203"/>
      <c r="I39" s="203"/>
      <c r="J39" s="205">
        <f>[1]Model_Exports_ME_TO!J39</f>
        <v>-72.986301369863014</v>
      </c>
      <c r="K39" s="205">
        <f>[1]Model_Exports_ME_TO!K39</f>
        <v>-66.424657534246577</v>
      </c>
      <c r="L39" s="205">
        <f>[1]Model_Exports_ME_TO!L39</f>
        <v>-68.108277776218273</v>
      </c>
      <c r="M39" s="205">
        <f>[1]Model_Exports_ME_TO!M39</f>
        <v>-69.764402018302249</v>
      </c>
      <c r="N39" s="205">
        <f>[1]Model_Exports_ME_TO!N39</f>
        <v>-71.532090967465734</v>
      </c>
      <c r="O39" s="205">
        <f>[1]Model_Exports_ME_TO!O39</f>
        <v>-73.320393241652368</v>
      </c>
      <c r="P39" s="205">
        <f>[1]Model_Exports_ME_TO!P39</f>
        <v>-75.178794967657907</v>
      </c>
      <c r="Q39" s="205">
        <f>[1]Model_Exports_ME_TO!Q39</f>
        <v>-77.006846254546772</v>
      </c>
    </row>
    <row r="40" spans="1:17" ht="10.5" customHeight="1">
      <c r="A40" s="108"/>
      <c r="B40" s="108"/>
      <c r="C40" s="108"/>
      <c r="D40" s="206" t="str">
        <f>[1]Model_Exports_ME_TO!D40</f>
        <v>Movement in Accounts Payable</v>
      </c>
      <c r="E40" s="108"/>
      <c r="F40" s="108"/>
      <c r="G40" s="108"/>
      <c r="H40" s="108"/>
      <c r="I40" s="108"/>
      <c r="J40" s="207">
        <f>[1]Model_Exports_ME_TO!J40</f>
        <v>-7.9863013698630141</v>
      </c>
      <c r="K40" s="207">
        <f>[1]Model_Exports_ME_TO!K40</f>
        <v>0.20034246575342252</v>
      </c>
      <c r="L40" s="207">
        <f>[1]Model_Exports_ME_TO!L40</f>
        <v>0.18234722378171853</v>
      </c>
      <c r="M40" s="207">
        <f>[1]Model_Exports_ME_TO!M40</f>
        <v>0.2334886066977333</v>
      </c>
      <c r="N40" s="207">
        <f>[1]Model_Exports_ME_TO!N40</f>
        <v>0.21574692315924437</v>
      </c>
      <c r="O40" s="207">
        <f>[1]Model_Exports_ME_TO!O40</f>
        <v>0.22114059623822868</v>
      </c>
      <c r="P40" s="207">
        <f>[1]Model_Exports_ME_TO!P40</f>
        <v>0.20127721617994609</v>
      </c>
      <c r="Q40" s="207">
        <f>[1]Model_Exports_ME_TO!Q40</f>
        <v>0.25772773388702319</v>
      </c>
    </row>
    <row r="41" spans="1:17" ht="10.5" customHeight="1">
      <c r="A41" s="108"/>
      <c r="B41" s="108"/>
      <c r="C41" s="108"/>
      <c r="D41" s="208" t="str">
        <f>[1]Model_Exports_ME_TO!D41</f>
        <v>Closing Balance</v>
      </c>
      <c r="E41" s="108"/>
      <c r="F41" s="108"/>
      <c r="G41" s="108"/>
      <c r="H41" s="108"/>
      <c r="I41" s="108"/>
      <c r="J41" s="209">
        <f>[1]Model_Exports_ME_TO!J41</f>
        <v>8.0136986301369859</v>
      </c>
      <c r="K41" s="209">
        <f>[1]Model_Exports_ME_TO!K41</f>
        <v>8.2140410958904102</v>
      </c>
      <c r="L41" s="209">
        <f>[1]Model_Exports_ME_TO!L41</f>
        <v>8.3963883196721305</v>
      </c>
      <c r="M41" s="209">
        <f>[1]Model_Exports_ME_TO!M41</f>
        <v>8.629876926369862</v>
      </c>
      <c r="N41" s="209">
        <f>[1]Model_Exports_ME_TO!N41</f>
        <v>8.8456238495291082</v>
      </c>
      <c r="O41" s="209">
        <f>[1]Model_Exports_ME_TO!O41</f>
        <v>9.0667644457673351</v>
      </c>
      <c r="P41" s="209">
        <f>[1]Model_Exports_ME_TO!P41</f>
        <v>9.2680416619472759</v>
      </c>
      <c r="Q41" s="209">
        <f>[1]Model_Exports_ME_TO!Q41</f>
        <v>9.5257693958343044</v>
      </c>
    </row>
    <row r="42" spans="1:17" ht="10.5" customHeight="1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</row>
    <row r="43" spans="1:17" ht="10.5" customHeight="1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</row>
    <row r="44" spans="1:17" ht="12.75" customHeight="1">
      <c r="A44" s="108"/>
      <c r="B44" s="197" t="str">
        <f>[1]Model_Exports_ME_TO!B44</f>
        <v>Assets - Outputs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</row>
    <row r="45" spans="1:17" ht="10.5" customHeight="1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</row>
    <row r="46" spans="1:17" ht="11.25" customHeight="1">
      <c r="A46" s="108"/>
      <c r="B46" s="108"/>
      <c r="C46" s="202" t="str">
        <f>[1]Model_Exports_ME_TO!C46</f>
        <v>Assets Balances ($Millions)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</row>
    <row r="47" spans="1:17" ht="10.5" customHeight="1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</row>
    <row r="48" spans="1:17" ht="10.5" customHeight="1">
      <c r="A48" s="108"/>
      <c r="B48" s="108"/>
      <c r="C48" s="108"/>
      <c r="D48" s="198" t="str">
        <f>[1]Model_Exports_ME_TO!D48</f>
        <v>Opening Balance</v>
      </c>
      <c r="E48" s="108"/>
      <c r="F48" s="108"/>
      <c r="G48" s="108"/>
      <c r="H48" s="108"/>
      <c r="I48" s="108"/>
      <c r="J48" s="199">
        <f>[1]Model_Exports_ME_TO!J48</f>
        <v>145</v>
      </c>
      <c r="K48" s="199">
        <f>[1]Model_Exports_ME_TO!K48</f>
        <v>146.5</v>
      </c>
      <c r="L48" s="199">
        <f>[1]Model_Exports_ME_TO!L48</f>
        <v>148.03749999999999</v>
      </c>
      <c r="M48" s="199">
        <f>[1]Model_Exports_ME_TO!M48</f>
        <v>149.6134375</v>
      </c>
      <c r="N48" s="199">
        <f>[1]Model_Exports_ME_TO!N48</f>
        <v>151.22877343750002</v>
      </c>
      <c r="O48" s="199">
        <f>[1]Model_Exports_ME_TO!O48</f>
        <v>152.88449277343753</v>
      </c>
      <c r="P48" s="199">
        <f>[1]Model_Exports_ME_TO!P48</f>
        <v>154.58160509277349</v>
      </c>
      <c r="Q48" s="199">
        <f>[1]Model_Exports_ME_TO!Q48</f>
        <v>156.32114522009283</v>
      </c>
    </row>
    <row r="49" spans="1:17" ht="10.5" customHeight="1">
      <c r="A49" s="108"/>
      <c r="B49" s="108"/>
      <c r="C49" s="108"/>
      <c r="D49" s="198" t="str">
        <f>[1]Model_Exports_ME_TO!D49</f>
        <v>Capital Expenditure - Assets</v>
      </c>
      <c r="E49" s="108"/>
      <c r="F49" s="108"/>
      <c r="G49" s="108"/>
      <c r="H49" s="108"/>
      <c r="I49" s="108"/>
      <c r="J49" s="199">
        <f>[1]Model_Exports_ME_TO!J49</f>
        <v>15</v>
      </c>
      <c r="K49" s="199">
        <f>[1]Model_Exports_ME_TO!K49</f>
        <v>15.374999999999998</v>
      </c>
      <c r="L49" s="199">
        <f>[1]Model_Exports_ME_TO!L49</f>
        <v>15.759374999999997</v>
      </c>
      <c r="M49" s="199">
        <f>[1]Model_Exports_ME_TO!M49</f>
        <v>16.153359374999994</v>
      </c>
      <c r="N49" s="199">
        <f>[1]Model_Exports_ME_TO!N49</f>
        <v>16.557193359374992</v>
      </c>
      <c r="O49" s="199">
        <f>[1]Model_Exports_ME_TO!O49</f>
        <v>16.971123193359364</v>
      </c>
      <c r="P49" s="199">
        <f>[1]Model_Exports_ME_TO!P49</f>
        <v>17.395401273193347</v>
      </c>
      <c r="Q49" s="199">
        <f>[1]Model_Exports_ME_TO!Q49</f>
        <v>17.830286305023179</v>
      </c>
    </row>
    <row r="50" spans="1:17" ht="10.5" customHeight="1">
      <c r="A50" s="108"/>
      <c r="B50" s="108"/>
      <c r="C50" s="108"/>
      <c r="D50" s="198" t="str">
        <f>[1]Model_Exports_ME_TO!D50</f>
        <v>Depreciation - % of Capital Expenditure</v>
      </c>
      <c r="E50" s="108"/>
      <c r="F50" s="108"/>
      <c r="G50" s="108"/>
      <c r="H50" s="108"/>
      <c r="I50" s="108"/>
      <c r="J50" s="211">
        <f>[1]Model_Exports_ME_TO!J50</f>
        <v>0.9</v>
      </c>
      <c r="K50" s="211">
        <f>[1]Model_Exports_ME_TO!K50</f>
        <v>0.9</v>
      </c>
      <c r="L50" s="211">
        <f>[1]Model_Exports_ME_TO!L50</f>
        <v>0.9</v>
      </c>
      <c r="M50" s="211">
        <f>[1]Model_Exports_ME_TO!M50</f>
        <v>0.9</v>
      </c>
      <c r="N50" s="211">
        <f>[1]Model_Exports_ME_TO!N50</f>
        <v>0.9</v>
      </c>
      <c r="O50" s="211">
        <f>[1]Model_Exports_ME_TO!O50</f>
        <v>0.9</v>
      </c>
      <c r="P50" s="211">
        <f>[1]Model_Exports_ME_TO!P50</f>
        <v>0.9</v>
      </c>
      <c r="Q50" s="211">
        <f>[1]Model_Exports_ME_TO!Q50</f>
        <v>0.9</v>
      </c>
    </row>
    <row r="51" spans="1:17" ht="10.5" customHeight="1">
      <c r="A51" s="203"/>
      <c r="B51" s="203"/>
      <c r="C51" s="203"/>
      <c r="D51" s="204" t="str">
        <f>[1]Model_Exports_ME_TO!D51</f>
        <v>Depreciation</v>
      </c>
      <c r="E51" s="203"/>
      <c r="F51" s="203"/>
      <c r="G51" s="203"/>
      <c r="H51" s="203"/>
      <c r="I51" s="203"/>
      <c r="J51" s="205">
        <f>[1]Model_Exports_ME_TO!J51</f>
        <v>-13.5</v>
      </c>
      <c r="K51" s="205">
        <f>[1]Model_Exports_ME_TO!K51</f>
        <v>-13.837499999999999</v>
      </c>
      <c r="L51" s="205">
        <f>[1]Model_Exports_ME_TO!L51</f>
        <v>-14.183437499999997</v>
      </c>
      <c r="M51" s="205">
        <f>[1]Model_Exports_ME_TO!M51</f>
        <v>-14.538023437499994</v>
      </c>
      <c r="N51" s="205">
        <f>[1]Model_Exports_ME_TO!N51</f>
        <v>-14.901474023437492</v>
      </c>
      <c r="O51" s="205">
        <f>[1]Model_Exports_ME_TO!O51</f>
        <v>-15.274010874023428</v>
      </c>
      <c r="P51" s="205">
        <f>[1]Model_Exports_ME_TO!P51</f>
        <v>-15.655861145874013</v>
      </c>
      <c r="Q51" s="205">
        <f>[1]Model_Exports_ME_TO!Q51</f>
        <v>-16.047257674520861</v>
      </c>
    </row>
    <row r="52" spans="1:17" ht="10.5" customHeight="1">
      <c r="A52" s="108"/>
      <c r="B52" s="108"/>
      <c r="C52" s="108"/>
      <c r="D52" s="208" t="str">
        <f>[1]Model_Exports_ME_TO!D52</f>
        <v>Closing Balance</v>
      </c>
      <c r="E52" s="108"/>
      <c r="F52" s="108"/>
      <c r="G52" s="108"/>
      <c r="H52" s="108"/>
      <c r="I52" s="108"/>
      <c r="J52" s="209">
        <f>[1]Model_Exports_ME_TO!J52</f>
        <v>146.5</v>
      </c>
      <c r="K52" s="209">
        <f>[1]Model_Exports_ME_TO!K52</f>
        <v>148.03749999999999</v>
      </c>
      <c r="L52" s="209">
        <f>[1]Model_Exports_ME_TO!L52</f>
        <v>149.6134375</v>
      </c>
      <c r="M52" s="209">
        <f>[1]Model_Exports_ME_TO!M52</f>
        <v>151.22877343750002</v>
      </c>
      <c r="N52" s="209">
        <f>[1]Model_Exports_ME_TO!N52</f>
        <v>152.88449277343753</v>
      </c>
      <c r="O52" s="209">
        <f>[1]Model_Exports_ME_TO!O52</f>
        <v>154.58160509277349</v>
      </c>
      <c r="P52" s="209">
        <f>[1]Model_Exports_ME_TO!P52</f>
        <v>156.32114522009283</v>
      </c>
      <c r="Q52" s="209">
        <f>[1]Model_Exports_ME_TO!Q52</f>
        <v>158.10417385059515</v>
      </c>
    </row>
    <row r="53" spans="1:17" ht="10.5" customHeight="1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</row>
    <row r="54" spans="1:17" ht="11.25" customHeight="1">
      <c r="A54" s="108"/>
      <c r="B54" s="108"/>
      <c r="C54" s="202" t="str">
        <f>[1]Model_Exports_ME_TO!C54</f>
        <v>Intangibles Balances ($Millions)</v>
      </c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</row>
    <row r="55" spans="1:17" ht="10.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</row>
    <row r="56" spans="1:17" ht="10.5" customHeight="1">
      <c r="A56" s="108"/>
      <c r="B56" s="108"/>
      <c r="C56" s="108"/>
      <c r="D56" s="198" t="str">
        <f>[1]Model_Exports_ME_TO!D56</f>
        <v>Opening Balance</v>
      </c>
      <c r="E56" s="108"/>
      <c r="F56" s="108"/>
      <c r="G56" s="108"/>
      <c r="H56" s="108"/>
      <c r="I56" s="108"/>
      <c r="J56" s="199">
        <f>[1]Model_Exports_ME_TO!J56</f>
        <v>11.5</v>
      </c>
      <c r="K56" s="199">
        <f>[1]Model_Exports_ME_TO!K56</f>
        <v>13.375</v>
      </c>
      <c r="L56" s="199">
        <f>[1]Model_Exports_ME_TO!L56</f>
        <v>15.296875</v>
      </c>
      <c r="M56" s="199">
        <f>[1]Model_Exports_ME_TO!M56</f>
        <v>17.266796874999997</v>
      </c>
      <c r="N56" s="199">
        <f>[1]Model_Exports_ME_TO!N56</f>
        <v>19.285966796874998</v>
      </c>
      <c r="O56" s="199">
        <f>[1]Model_Exports_ME_TO!O56</f>
        <v>21.355615966796872</v>
      </c>
      <c r="P56" s="199">
        <f>[1]Model_Exports_ME_TO!P56</f>
        <v>23.477006365966794</v>
      </c>
      <c r="Q56" s="199">
        <f>[1]Model_Exports_ME_TO!Q56</f>
        <v>25.651431525115964</v>
      </c>
    </row>
    <row r="57" spans="1:17" ht="10.5" customHeight="1">
      <c r="A57" s="108"/>
      <c r="B57" s="108"/>
      <c r="C57" s="108"/>
      <c r="D57" s="198" t="str">
        <f>[1]Model_Exports_ME_TO!D57</f>
        <v>Capital Expenditure - Intangibles</v>
      </c>
      <c r="E57" s="108"/>
      <c r="F57" s="108"/>
      <c r="G57" s="108"/>
      <c r="H57" s="108"/>
      <c r="I57" s="108"/>
      <c r="J57" s="199">
        <f>[1]Model_Exports_ME_TO!J57</f>
        <v>2.5</v>
      </c>
      <c r="K57" s="199">
        <f>[1]Model_Exports_ME_TO!K57</f>
        <v>2.5625</v>
      </c>
      <c r="L57" s="199">
        <f>[1]Model_Exports_ME_TO!L57</f>
        <v>2.6265624999999999</v>
      </c>
      <c r="M57" s="199">
        <f>[1]Model_Exports_ME_TO!M57</f>
        <v>2.6922265624999997</v>
      </c>
      <c r="N57" s="199">
        <f>[1]Model_Exports_ME_TO!N57</f>
        <v>2.7595322265624995</v>
      </c>
      <c r="O57" s="199">
        <f>[1]Model_Exports_ME_TO!O57</f>
        <v>2.8285205322265616</v>
      </c>
      <c r="P57" s="199">
        <f>[1]Model_Exports_ME_TO!P57</f>
        <v>2.8992335455322253</v>
      </c>
      <c r="Q57" s="199">
        <f>[1]Model_Exports_ME_TO!Q57</f>
        <v>2.9717143841705309</v>
      </c>
    </row>
    <row r="58" spans="1:17" ht="10.5" customHeight="1">
      <c r="A58" s="108"/>
      <c r="B58" s="108"/>
      <c r="C58" s="108"/>
      <c r="D58" s="198" t="str">
        <f>[1]Model_Exports_ME_TO!D58</f>
        <v>Amortization - % of Capital Expenditure</v>
      </c>
      <c r="E58" s="108"/>
      <c r="F58" s="108"/>
      <c r="G58" s="108"/>
      <c r="H58" s="108"/>
      <c r="I58" s="108"/>
      <c r="J58" s="211">
        <f>[1]Model_Exports_ME_TO!J58</f>
        <v>0.25</v>
      </c>
      <c r="K58" s="211">
        <f>[1]Model_Exports_ME_TO!K58</f>
        <v>0.25</v>
      </c>
      <c r="L58" s="211">
        <f>[1]Model_Exports_ME_TO!L58</f>
        <v>0.25</v>
      </c>
      <c r="M58" s="211">
        <f>[1]Model_Exports_ME_TO!M58</f>
        <v>0.25</v>
      </c>
      <c r="N58" s="211">
        <f>[1]Model_Exports_ME_TO!N58</f>
        <v>0.25</v>
      </c>
      <c r="O58" s="211">
        <f>[1]Model_Exports_ME_TO!O58</f>
        <v>0.25</v>
      </c>
      <c r="P58" s="211">
        <f>[1]Model_Exports_ME_TO!P58</f>
        <v>0.25</v>
      </c>
      <c r="Q58" s="211">
        <f>[1]Model_Exports_ME_TO!Q58</f>
        <v>0.25</v>
      </c>
    </row>
    <row r="59" spans="1:17" ht="10.5" customHeight="1">
      <c r="A59" s="203"/>
      <c r="B59" s="203"/>
      <c r="C59" s="203"/>
      <c r="D59" s="204" t="str">
        <f>[1]Model_Exports_ME_TO!D59</f>
        <v>Amortization</v>
      </c>
      <c r="E59" s="203"/>
      <c r="F59" s="203"/>
      <c r="G59" s="203"/>
      <c r="H59" s="203"/>
      <c r="I59" s="203"/>
      <c r="J59" s="205">
        <f>[1]Model_Exports_ME_TO!J59</f>
        <v>-0.625</v>
      </c>
      <c r="K59" s="205">
        <f>[1]Model_Exports_ME_TO!K59</f>
        <v>-0.640625</v>
      </c>
      <c r="L59" s="205">
        <f>[1]Model_Exports_ME_TO!L59</f>
        <v>-0.65664062499999998</v>
      </c>
      <c r="M59" s="205">
        <f>[1]Model_Exports_ME_TO!M59</f>
        <v>-0.67305664062499992</v>
      </c>
      <c r="N59" s="205">
        <f>[1]Model_Exports_ME_TO!N59</f>
        <v>-0.68988305664062488</v>
      </c>
      <c r="O59" s="205">
        <f>[1]Model_Exports_ME_TO!O59</f>
        <v>-0.70713013305664041</v>
      </c>
      <c r="P59" s="205">
        <f>[1]Model_Exports_ME_TO!P59</f>
        <v>-0.72480838638305634</v>
      </c>
      <c r="Q59" s="205">
        <f>[1]Model_Exports_ME_TO!Q59</f>
        <v>-0.74292859604263273</v>
      </c>
    </row>
    <row r="60" spans="1:17" ht="10.5" customHeight="1">
      <c r="A60" s="108"/>
      <c r="B60" s="108"/>
      <c r="C60" s="108"/>
      <c r="D60" s="208" t="str">
        <f>[1]Model_Exports_ME_TO!D60</f>
        <v>Closing Balance</v>
      </c>
      <c r="E60" s="108"/>
      <c r="F60" s="108"/>
      <c r="G60" s="108"/>
      <c r="H60" s="108"/>
      <c r="I60" s="108"/>
      <c r="J60" s="209">
        <f>[1]Model_Exports_ME_TO!J60</f>
        <v>13.375</v>
      </c>
      <c r="K60" s="209">
        <f>[1]Model_Exports_ME_TO!K60</f>
        <v>15.296875</v>
      </c>
      <c r="L60" s="209">
        <f>[1]Model_Exports_ME_TO!L60</f>
        <v>17.266796874999997</v>
      </c>
      <c r="M60" s="209">
        <f>[1]Model_Exports_ME_TO!M60</f>
        <v>19.285966796874998</v>
      </c>
      <c r="N60" s="209">
        <f>[1]Model_Exports_ME_TO!N60</f>
        <v>21.355615966796872</v>
      </c>
      <c r="O60" s="209">
        <f>[1]Model_Exports_ME_TO!O60</f>
        <v>23.477006365966794</v>
      </c>
      <c r="P60" s="209">
        <f>[1]Model_Exports_ME_TO!P60</f>
        <v>25.651431525115964</v>
      </c>
      <c r="Q60" s="209">
        <f>[1]Model_Exports_ME_TO!Q60</f>
        <v>27.880217313243865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8" tooltip="Go to Previous Sheet" display="HL_Sheet_Main_8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1" manualBreakCount="1">
    <brk id="43" min="1" max="16" man="1"/>
  </row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309</v>
      </c>
    </row>
    <row r="10" spans="3:7" ht="16.5">
      <c r="C10" s="12" t="s">
        <v>310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34</v>
      </c>
    </row>
    <row r="18" spans="3:3">
      <c r="C18" s="15" t="s">
        <v>311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'Model_Exports_MI_TO'!A1" tooltip="Go to Previous Sheet" display="'Model_Exports_MI_TO'!A1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>
    <pageSetUpPr autoPageBreaks="0"/>
  </sheetPr>
  <dimension ref="A1:M64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/>
  <cols>
    <col min="1" max="5" width="3.83203125" customWidth="1"/>
    <col min="6" max="256" width="11.83203125" customWidth="1"/>
  </cols>
  <sheetData>
    <row r="1" spans="1:9" ht="18">
      <c r="B1" s="1" t="s">
        <v>309</v>
      </c>
    </row>
    <row r="2" spans="1:9" ht="15">
      <c r="B2" s="7" t="str">
        <f>Model_Name</f>
        <v>SMA 13. Multiple Workbooks - Best Practice Model Example 1</v>
      </c>
    </row>
    <row r="3" spans="1:9">
      <c r="B3" s="241" t="s">
        <v>1</v>
      </c>
      <c r="C3" s="241"/>
      <c r="D3" s="241"/>
      <c r="E3" s="241"/>
      <c r="F3" s="241"/>
    </row>
    <row r="4" spans="1:9" ht="12.75">
      <c r="A4" s="91" t="s">
        <v>10</v>
      </c>
      <c r="B4" s="13" t="s">
        <v>26</v>
      </c>
      <c r="C4" s="14" t="s">
        <v>27</v>
      </c>
      <c r="D4" s="92" t="s">
        <v>38</v>
      </c>
      <c r="E4" s="92" t="s">
        <v>39</v>
      </c>
      <c r="F4" s="93" t="s">
        <v>40</v>
      </c>
    </row>
    <row r="7" spans="1:9" ht="12.75">
      <c r="B7" s="212" t="s">
        <v>312</v>
      </c>
    </row>
    <row r="9" spans="1:9" ht="17.25" customHeight="1">
      <c r="C9" s="213" t="b">
        <v>1</v>
      </c>
    </row>
    <row r="11" spans="1:9" ht="11.25">
      <c r="C11" s="214" t="s">
        <v>313</v>
      </c>
    </row>
    <row r="13" spans="1:9">
      <c r="D13" s="215" t="str">
        <f>D29</f>
        <v>Total Errors:</v>
      </c>
      <c r="I13" s="216">
        <f>Err_Chks_Ttl_Areas</f>
        <v>0</v>
      </c>
    </row>
    <row r="14" spans="1:9">
      <c r="D14" s="217" t="s">
        <v>314</v>
      </c>
      <c r="I14" s="218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14" t="s">
        <v>312</v>
      </c>
    </row>
    <row r="18" spans="2:13">
      <c r="D18" s="219" t="s">
        <v>312</v>
      </c>
      <c r="E18" s="97"/>
      <c r="F18" s="97"/>
      <c r="G18" s="97"/>
      <c r="H18" s="97"/>
      <c r="I18" s="97"/>
      <c r="J18" s="97"/>
      <c r="K18" s="220" t="s">
        <v>315</v>
      </c>
      <c r="L18" s="220" t="s">
        <v>316</v>
      </c>
      <c r="M18" s="220" t="s">
        <v>317</v>
      </c>
    </row>
    <row r="19" spans="2:13">
      <c r="D19" s="221"/>
      <c r="E19" s="10"/>
      <c r="F19" s="10"/>
      <c r="G19" s="10"/>
      <c r="H19" s="10"/>
      <c r="I19" s="10"/>
      <c r="J19" s="10"/>
      <c r="K19" s="222"/>
      <c r="L19" s="222"/>
      <c r="M19" s="222"/>
    </row>
    <row r="20" spans="2:13">
      <c r="D20" s="8" t="str">
        <f>IF(ISERROR(Err_Chk_1_Hdg),"Miscellaneous Check",Err_Chk_1_Hdg)</f>
        <v>Accounts Receivable Balances ($Millions)</v>
      </c>
      <c r="E20" s="147"/>
      <c r="F20" s="147"/>
      <c r="G20" s="147"/>
      <c r="H20" s="147"/>
      <c r="I20" s="147"/>
      <c r="J20" s="147"/>
      <c r="K20" s="223">
        <f>IF(ISERROR(HL_Err_Chk_1),1,(HL_Err_Chk_1&lt;&gt;0)*1)</f>
        <v>0</v>
      </c>
      <c r="L20" s="224" t="s">
        <v>133</v>
      </c>
      <c r="M20" s="225">
        <f t="shared" ref="M20:M27" si="0">K20*(L20="Yes")</f>
        <v>0</v>
      </c>
    </row>
    <row r="21" spans="2:13">
      <c r="D21" s="8" t="str">
        <f>IF(ISERROR(Err_Chk_2_Hdg),"Miscellaneous Check",Err_Chk_2_Hdg)</f>
        <v>Accounts Payable Balances ($Millions)</v>
      </c>
      <c r="E21" s="147"/>
      <c r="F21" s="147"/>
      <c r="G21" s="147"/>
      <c r="H21" s="147"/>
      <c r="I21" s="147"/>
      <c r="J21" s="147"/>
      <c r="K21" s="223">
        <f>IF(ISERROR(HL_Err_Chk_2),1,(HL_Err_Chk_2&lt;&gt;0)*1)</f>
        <v>0</v>
      </c>
      <c r="L21" s="224" t="s">
        <v>133</v>
      </c>
      <c r="M21" s="225">
        <f t="shared" si="0"/>
        <v>0</v>
      </c>
    </row>
    <row r="22" spans="2:13">
      <c r="D22" s="8" t="str">
        <f>IF(ISERROR(Err_Chk_3_Hdg),"Miscellaneous Check",Err_Chk_3_Hdg)</f>
        <v>Assets Balances ($Millions)</v>
      </c>
      <c r="E22" s="147"/>
      <c r="F22" s="147"/>
      <c r="G22" s="147"/>
      <c r="H22" s="147"/>
      <c r="I22" s="147"/>
      <c r="J22" s="147"/>
      <c r="K22" s="223">
        <f>IF(ISERROR(HL_Err_Chk_3),1,(HL_Err_Chk_3&lt;&gt;0)*1)</f>
        <v>0</v>
      </c>
      <c r="L22" s="224" t="s">
        <v>133</v>
      </c>
      <c r="M22" s="225">
        <f t="shared" si="0"/>
        <v>0</v>
      </c>
    </row>
    <row r="23" spans="2:13">
      <c r="D23" s="8" t="str">
        <f>IF(ISERROR(Err_Chk_4_Hdg),"Miscellaneous Check",Err_Chk_4_Hdg)</f>
        <v>Intangibles Balances ($Millions)</v>
      </c>
      <c r="E23" s="147"/>
      <c r="F23" s="147"/>
      <c r="G23" s="147"/>
      <c r="H23" s="147"/>
      <c r="I23" s="147"/>
      <c r="J23" s="147"/>
      <c r="K23" s="223">
        <f>IF(ISERROR(HL_Err_Chk_4),1,(HL_Err_Chk_4&lt;&gt;0)*1)</f>
        <v>0</v>
      </c>
      <c r="L23" s="224" t="s">
        <v>133</v>
      </c>
      <c r="M23" s="225">
        <f t="shared" si="0"/>
        <v>0</v>
      </c>
    </row>
    <row r="24" spans="2:13">
      <c r="D24" s="8" t="str">
        <f>IF(ISERROR(Err_Chk_15_Hdg),"Miscellaneous Check",Err_Chk_15_Hdg)</f>
        <v>Ordinary Equity - Outputs</v>
      </c>
      <c r="E24" s="147"/>
      <c r="F24" s="147"/>
      <c r="G24" s="147"/>
      <c r="H24" s="147"/>
      <c r="I24" s="147"/>
      <c r="J24" s="147"/>
      <c r="K24" s="223">
        <f>IF(ISERROR(HL_Err_Chk_15),1,(HL_Err_Chk_15&lt;&gt;0)*1)</f>
        <v>0</v>
      </c>
      <c r="L24" s="224" t="s">
        <v>133</v>
      </c>
      <c r="M24" s="225">
        <f t="shared" si="0"/>
        <v>0</v>
      </c>
    </row>
    <row r="25" spans="2:13">
      <c r="D25" s="8" t="str">
        <f>IF(ISERROR(Err_Chk_11_Hdg),"Miscellaneous Check",Err_Chk_11_Hdg)</f>
        <v>Income Statement</v>
      </c>
      <c r="E25" s="147"/>
      <c r="F25" s="147"/>
      <c r="G25" s="147"/>
      <c r="H25" s="147"/>
      <c r="I25" s="147"/>
      <c r="J25" s="147"/>
      <c r="K25" s="223">
        <f>IF(ISERROR(HL_Err_Chk_11),1,(HL_Err_Chk_11&lt;&gt;0)*1)</f>
        <v>0</v>
      </c>
      <c r="L25" s="224" t="s">
        <v>133</v>
      </c>
      <c r="M25" s="225">
        <f t="shared" si="0"/>
        <v>0</v>
      </c>
    </row>
    <row r="26" spans="2:13">
      <c r="D26" s="8" t="str">
        <f>IF(ISERROR(Err_Chk_13_Hdg),"Miscellaneous Check",Err_Chk_13_Hdg)</f>
        <v>Balance Sheet</v>
      </c>
      <c r="E26" s="147"/>
      <c r="F26" s="147"/>
      <c r="G26" s="147"/>
      <c r="H26" s="147"/>
      <c r="I26" s="147"/>
      <c r="J26" s="147"/>
      <c r="K26" s="223">
        <f>IF(ISERROR(HL_Err_Chk_13),1,(HL_Err_Chk_13&lt;&gt;0)*1)</f>
        <v>0</v>
      </c>
      <c r="L26" s="224" t="s">
        <v>133</v>
      </c>
      <c r="M26" s="225">
        <f t="shared" si="0"/>
        <v>0</v>
      </c>
    </row>
    <row r="27" spans="2:13">
      <c r="D27" s="8" t="str">
        <f>IF(ISERROR(Err_Chk_14_Hdg),"Miscellaneous Check",Err_Chk_14_Hdg)</f>
        <v>Cash Flow Statement</v>
      </c>
      <c r="E27" s="147"/>
      <c r="F27" s="147"/>
      <c r="G27" s="147"/>
      <c r="H27" s="147"/>
      <c r="I27" s="147"/>
      <c r="J27" s="147"/>
      <c r="K27" s="223">
        <f>IF(ISERROR(HL_Err_Chk_14),1,(HL_Err_Chk_14&lt;&gt;0)*1)</f>
        <v>0</v>
      </c>
      <c r="L27" s="224" t="s">
        <v>133</v>
      </c>
      <c r="M27" s="225">
        <f t="shared" si="0"/>
        <v>0</v>
      </c>
    </row>
    <row r="29" spans="2:13">
      <c r="D29" s="3" t="s">
        <v>318</v>
      </c>
      <c r="M29" s="226">
        <f>SUMIF(CA_Err_Chks_Inc,"Yes",CA_Err_Chks_Flags)</f>
        <v>0</v>
      </c>
    </row>
    <row r="32" spans="2:13" ht="12.75">
      <c r="B32" s="212" t="s">
        <v>319</v>
      </c>
    </row>
    <row r="34" spans="2:13" ht="17.25" customHeight="1">
      <c r="C34" s="213" t="b">
        <v>1</v>
      </c>
    </row>
    <row r="36" spans="2:13" ht="11.25">
      <c r="C36" s="214" t="s">
        <v>320</v>
      </c>
    </row>
    <row r="38" spans="2:13">
      <c r="D38" s="215" t="str">
        <f>D45</f>
        <v>Total Sensitivities:</v>
      </c>
      <c r="I38" s="216">
        <f>Sens_Chks_Ttl_Areas</f>
        <v>0</v>
      </c>
    </row>
    <row r="39" spans="2:13">
      <c r="D39" s="217" t="s">
        <v>321</v>
      </c>
      <c r="I39" s="218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41" spans="2:13" ht="11.25">
      <c r="C41" s="214" t="s">
        <v>319</v>
      </c>
    </row>
    <row r="43" spans="2:13">
      <c r="D43" s="219" t="s">
        <v>319</v>
      </c>
      <c r="E43" s="97"/>
      <c r="F43" s="97"/>
      <c r="G43" s="97"/>
      <c r="H43" s="97"/>
      <c r="I43" s="97"/>
      <c r="J43" s="97"/>
      <c r="K43" s="220" t="s">
        <v>315</v>
      </c>
      <c r="L43" s="220" t="s">
        <v>316</v>
      </c>
      <c r="M43" s="220" t="s">
        <v>317</v>
      </c>
    </row>
    <row r="45" spans="2:13">
      <c r="D45" s="3" t="s">
        <v>322</v>
      </c>
      <c r="M45" s="226">
        <f>SUMIF(CA_Sens_Chks_Inc,"Yes",CA_Sens_Chks_Flags)</f>
        <v>0</v>
      </c>
    </row>
    <row r="48" spans="2:13" ht="12.75">
      <c r="B48" s="212" t="s">
        <v>323</v>
      </c>
    </row>
    <row r="50" spans="3:13" ht="17.25" customHeight="1">
      <c r="C50" s="213" t="b">
        <v>1</v>
      </c>
    </row>
    <row r="52" spans="3:13" ht="11.25">
      <c r="C52" s="214" t="s">
        <v>324</v>
      </c>
    </row>
    <row r="54" spans="3:13">
      <c r="D54" s="215" t="str">
        <f>D64</f>
        <v>Total Alerts:</v>
      </c>
      <c r="I54" s="216">
        <f>Alt_Chks_Ttl_Areas</f>
        <v>0</v>
      </c>
    </row>
    <row r="55" spans="3:13">
      <c r="D55" s="217" t="s">
        <v>325</v>
      </c>
      <c r="I55" s="218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7" spans="3:13" ht="11.25">
      <c r="C57" s="214" t="s">
        <v>323</v>
      </c>
    </row>
    <row r="59" spans="3:13">
      <c r="D59" s="219" t="s">
        <v>323</v>
      </c>
      <c r="E59" s="97"/>
      <c r="F59" s="97"/>
      <c r="G59" s="97"/>
      <c r="H59" s="97"/>
      <c r="I59" s="97"/>
      <c r="J59" s="97"/>
      <c r="K59" s="220" t="s">
        <v>315</v>
      </c>
      <c r="L59" s="220" t="s">
        <v>316</v>
      </c>
      <c r="M59" s="220" t="s">
        <v>317</v>
      </c>
    </row>
    <row r="60" spans="3:13">
      <c r="D60" s="221"/>
      <c r="E60" s="10"/>
      <c r="F60" s="10"/>
      <c r="G60" s="10"/>
      <c r="H60" s="10"/>
      <c r="I60" s="10"/>
      <c r="J60" s="10"/>
      <c r="K60" s="222"/>
      <c r="L60" s="222"/>
      <c r="M60" s="222"/>
    </row>
    <row r="61" spans="3:13">
      <c r="D61" s="8" t="str">
        <f>IF(ISERROR(Alt_Chk_15_Hdg),"Miscellaneous Check",Alt_Chk_15_Hdg)</f>
        <v>Ordinary Equity - Outputs</v>
      </c>
      <c r="E61" s="147"/>
      <c r="F61" s="147"/>
      <c r="G61" s="147"/>
      <c r="H61" s="147"/>
      <c r="I61" s="147"/>
      <c r="J61" s="147"/>
      <c r="K61" s="223">
        <f>IF(ISERROR(HL_Alt_Chk_15),1,(HL_Alt_Chk_15&lt;&gt;0)*1)</f>
        <v>0</v>
      </c>
      <c r="L61" s="224" t="s">
        <v>133</v>
      </c>
      <c r="M61" s="225">
        <f>K61*(L61="Yes")</f>
        <v>0</v>
      </c>
    </row>
    <row r="62" spans="3:13">
      <c r="D62" s="8" t="str">
        <f>IF(ISERROR(Alt_Chk_14_Hdg),"Miscellaneous Check",Alt_Chk_14_Hdg)</f>
        <v>Balance Sheet</v>
      </c>
      <c r="E62" s="147"/>
      <c r="F62" s="147"/>
      <c r="G62" s="147"/>
      <c r="H62" s="147"/>
      <c r="I62" s="147"/>
      <c r="J62" s="147"/>
      <c r="K62" s="223">
        <f>IF(ISERROR(HL_Alt_Chk_14),1,(HL_Alt_Chk_14&lt;&gt;0)*1)</f>
        <v>0</v>
      </c>
      <c r="L62" s="224" t="s">
        <v>133</v>
      </c>
      <c r="M62" s="225">
        <f>K62*(L62="Yes")</f>
        <v>0</v>
      </c>
    </row>
    <row r="64" spans="3:13">
      <c r="D64" s="3" t="s">
        <v>326</v>
      </c>
      <c r="M64" s="226">
        <f>SUMIF(CA_Alt_Chks_Inc,"Yes",CA_Alt_Chks_Flags)</f>
        <v>0</v>
      </c>
    </row>
  </sheetData>
  <mergeCells count="1">
    <mergeCell ref="B3:F3"/>
  </mergeCells>
  <conditionalFormatting sqref="M45 I54 M29 I38 I13">
    <cfRule type="cellIs" dxfId="34" priority="35" stopIfTrue="1" operator="notEqual">
      <formula>0</formula>
    </cfRule>
  </conditionalFormatting>
  <conditionalFormatting sqref="M64">
    <cfRule type="cellIs" dxfId="33" priority="34" stopIfTrue="1" operator="notEqual">
      <formula>0</formula>
    </cfRule>
  </conditionalFormatting>
  <conditionalFormatting sqref="K20:K27">
    <cfRule type="cellIs" dxfId="32" priority="33" stopIfTrue="1" operator="notEqual">
      <formula>0</formula>
    </cfRule>
  </conditionalFormatting>
  <conditionalFormatting sqref="D20">
    <cfRule type="expression" dxfId="31" priority="32" stopIfTrue="1">
      <formula>K20&lt;&gt;0</formula>
    </cfRule>
  </conditionalFormatting>
  <conditionalFormatting sqref="L20">
    <cfRule type="expression" dxfId="30" priority="31" stopIfTrue="1">
      <formula>K20&lt;&gt;0</formula>
    </cfRule>
  </conditionalFormatting>
  <conditionalFormatting sqref="M20">
    <cfRule type="expression" dxfId="29" priority="30" stopIfTrue="1">
      <formula>K20&lt;&gt;0</formula>
    </cfRule>
  </conditionalFormatting>
  <conditionalFormatting sqref="D21">
    <cfRule type="expression" dxfId="28" priority="29" stopIfTrue="1">
      <formula>K21&lt;&gt;0</formula>
    </cfRule>
  </conditionalFormatting>
  <conditionalFormatting sqref="L21">
    <cfRule type="expression" dxfId="27" priority="28" stopIfTrue="1">
      <formula>K21&lt;&gt;0</formula>
    </cfRule>
  </conditionalFormatting>
  <conditionalFormatting sqref="M21">
    <cfRule type="expression" dxfId="26" priority="27" stopIfTrue="1">
      <formula>K21&lt;&gt;0</formula>
    </cfRule>
  </conditionalFormatting>
  <conditionalFormatting sqref="D22">
    <cfRule type="expression" dxfId="25" priority="26" stopIfTrue="1">
      <formula>K22&lt;&gt;0</formula>
    </cfRule>
  </conditionalFormatting>
  <conditionalFormatting sqref="L22">
    <cfRule type="expression" dxfId="24" priority="25" stopIfTrue="1">
      <formula>K22&lt;&gt;0</formula>
    </cfRule>
  </conditionalFormatting>
  <conditionalFormatting sqref="M22">
    <cfRule type="expression" dxfId="23" priority="24" stopIfTrue="1">
      <formula>K22&lt;&gt;0</formula>
    </cfRule>
  </conditionalFormatting>
  <conditionalFormatting sqref="D23">
    <cfRule type="expression" dxfId="22" priority="23" stopIfTrue="1">
      <formula>K23&lt;&gt;0</formula>
    </cfRule>
  </conditionalFormatting>
  <conditionalFormatting sqref="L23">
    <cfRule type="expression" dxfId="21" priority="22" stopIfTrue="1">
      <formula>K23&lt;&gt;0</formula>
    </cfRule>
  </conditionalFormatting>
  <conditionalFormatting sqref="M23">
    <cfRule type="expression" dxfId="20" priority="21" stopIfTrue="1">
      <formula>K23&lt;&gt;0</formula>
    </cfRule>
  </conditionalFormatting>
  <conditionalFormatting sqref="D24">
    <cfRule type="expression" dxfId="19" priority="20" stopIfTrue="1">
      <formula>K24&lt;&gt;0</formula>
    </cfRule>
  </conditionalFormatting>
  <conditionalFormatting sqref="L24">
    <cfRule type="expression" dxfId="18" priority="19" stopIfTrue="1">
      <formula>K24&lt;&gt;0</formula>
    </cfRule>
  </conditionalFormatting>
  <conditionalFormatting sqref="M24">
    <cfRule type="expression" dxfId="17" priority="18" stopIfTrue="1">
      <formula>K24&lt;&gt;0</formula>
    </cfRule>
  </conditionalFormatting>
  <conditionalFormatting sqref="D25">
    <cfRule type="expression" dxfId="16" priority="17" stopIfTrue="1">
      <formula>K25&lt;&gt;0</formula>
    </cfRule>
  </conditionalFormatting>
  <conditionalFormatting sqref="L25">
    <cfRule type="expression" dxfId="15" priority="16" stopIfTrue="1">
      <formula>K25&lt;&gt;0</formula>
    </cfRule>
  </conditionalFormatting>
  <conditionalFormatting sqref="M25">
    <cfRule type="expression" dxfId="14" priority="15" stopIfTrue="1">
      <formula>K25&lt;&gt;0</formula>
    </cfRule>
  </conditionalFormatting>
  <conditionalFormatting sqref="D26">
    <cfRule type="expression" dxfId="13" priority="14" stopIfTrue="1">
      <formula>K26&lt;&gt;0</formula>
    </cfRule>
  </conditionalFormatting>
  <conditionalFormatting sqref="L26">
    <cfRule type="expression" dxfId="12" priority="13" stopIfTrue="1">
      <formula>K26&lt;&gt;0</formula>
    </cfRule>
  </conditionalFormatting>
  <conditionalFormatting sqref="M26">
    <cfRule type="expression" dxfId="11" priority="12" stopIfTrue="1">
      <formula>K26&lt;&gt;0</formula>
    </cfRule>
  </conditionalFormatting>
  <conditionalFormatting sqref="D27">
    <cfRule type="expression" dxfId="10" priority="11" stopIfTrue="1">
      <formula>K27&lt;&gt;0</formula>
    </cfRule>
  </conditionalFormatting>
  <conditionalFormatting sqref="L27">
    <cfRule type="expression" dxfId="9" priority="10" stopIfTrue="1">
      <formula>K27&lt;&gt;0</formula>
    </cfRule>
  </conditionalFormatting>
  <conditionalFormatting sqref="M27">
    <cfRule type="expression" dxfId="8" priority="9" stopIfTrue="1">
      <formula>K27&lt;&gt;0</formula>
    </cfRule>
  </conditionalFormatting>
  <conditionalFormatting sqref="D61">
    <cfRule type="expression" dxfId="7" priority="8" stopIfTrue="1">
      <formula>K61&lt;&gt;0</formula>
    </cfRule>
  </conditionalFormatting>
  <conditionalFormatting sqref="K61">
    <cfRule type="cellIs" dxfId="6" priority="7" stopIfTrue="1" operator="notEqual">
      <formula>0</formula>
    </cfRule>
  </conditionalFormatting>
  <conditionalFormatting sqref="L61">
    <cfRule type="expression" dxfId="5" priority="6" stopIfTrue="1">
      <formula>K61&lt;&gt;0</formula>
    </cfRule>
  </conditionalFormatting>
  <conditionalFormatting sqref="M61">
    <cfRule type="expression" dxfId="4" priority="5" stopIfTrue="1">
      <formula>K61&lt;&gt;0</formula>
    </cfRule>
  </conditionalFormatting>
  <conditionalFormatting sqref="D62">
    <cfRule type="expression" dxfId="3" priority="4" stopIfTrue="1">
      <formula>K62&lt;&gt;0</formula>
    </cfRule>
  </conditionalFormatting>
  <conditionalFormatting sqref="K62">
    <cfRule type="cellIs" dxfId="2" priority="3" stopIfTrue="1" operator="notEqual">
      <formula>0</formula>
    </cfRule>
  </conditionalFormatting>
  <conditionalFormatting sqref="L62">
    <cfRule type="expression" dxfId="1" priority="2" stopIfTrue="1">
      <formula>K62&lt;&gt;0</formula>
    </cfRule>
  </conditionalFormatting>
  <conditionalFormatting sqref="M62">
    <cfRule type="expression" dxfId="0" priority="1" stopIfTrue="1">
      <formula>K62&lt;&gt;0</formula>
    </cfRule>
  </conditionalFormatting>
  <dataValidations count="3">
    <dataValidation type="list" showErrorMessage="1" errorTitle="Include Alert Check" error="The include alert check trigger must correspond with one of the options provided in the drop down list." sqref="L61:L62">
      <formula1>"Yes,No"</formula1>
    </dataValidation>
    <dataValidation type="list" showErrorMessage="1" errorTitle="Include Error Check" error="The include error check trigger must correspond with one of the options provided in the drop down list." sqref="L20:L27">
      <formula1>"Yes,No"</formula1>
    </dataValidation>
    <dataValidation type="custom" showDropDown="1" showErrorMessage="1" errorTitle="6 Cell Link" error="The value in an option button cell link must be either &quot;TRUE&quot; or &quot;FALSE&quot;" sqref="C50 C9 C34">
      <formula1>ISLOGICAL(C9)</formula1>
    </dataValidation>
  </dataValidations>
  <hyperlinks>
    <hyperlink ref="D20:J20" location="HL_Err_Chk_1" tooltip="Go to Accounts Receivable Balances ($Millions)" display="HL_Err_Chk_1"/>
    <hyperlink ref="D21:J21" location="HL_Err_Chk_2" tooltip="Go to Accounts Payable Balances ($Millions)" display="HL_Err_Chk_2"/>
    <hyperlink ref="D22:J22" location="HL_Err_Chk_3" tooltip="Go to Assets Balances ($Millions)" display="HL_Err_Chk_3"/>
    <hyperlink ref="D23:J23" location="HL_Err_Chk_4" tooltip="Go to Intangibles Balances ($Millions)" display="HL_Err_Chk_4"/>
    <hyperlink ref="D24:J24" location="HL_Err_Chk_15" tooltip="Go to Ordinary Equity - Outputs" display="HL_Err_Chk_15"/>
    <hyperlink ref="D25:J25" location="HL_Err_Chk_11" tooltip="Go to Income Statement" display="HL_Err_Chk_11"/>
    <hyperlink ref="D26:J26" location="HL_Err_Chk_13" tooltip="Go to Balance Sheet" display="HL_Err_Chk_13"/>
    <hyperlink ref="D27:J27" location="HL_Err_Chk_14" tooltip="Go to Cash Flow Statement" display="HL_Err_Chk_14"/>
    <hyperlink ref="D61:J61" location="HL_Alt_Chk_15" tooltip="Go to Ordinary Equity - Outputs" display="HL_Alt_Chk_15"/>
    <hyperlink ref="D62:J62" location="HL_Alt_Chk_14" tooltip="Go to Balance Sheet" display="HL_Alt_Chk_14"/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31" min="1" max="12" man="1"/>
    <brk id="47" min="1" max="12" man="1"/>
  </rowBreaks>
  <legacy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327</v>
      </c>
    </row>
    <row r="10" spans="3:7" ht="16.5">
      <c r="C10" s="12" t="s">
        <v>328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34</v>
      </c>
    </row>
    <row r="18" spans="3:3">
      <c r="C18" s="15" t="s">
        <v>329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330</v>
      </c>
    </row>
    <row r="2" spans="1:6" ht="15">
      <c r="B2" s="7" t="str">
        <f>Model_Name</f>
        <v>SMA 13. Multiple Workbooks - Best Practice Model Example 1</v>
      </c>
    </row>
    <row r="3" spans="1:6">
      <c r="B3" s="241" t="s">
        <v>1</v>
      </c>
      <c r="C3" s="241"/>
      <c r="D3" s="241"/>
    </row>
    <row r="4" spans="1:6" ht="12.75">
      <c r="A4" s="91" t="s">
        <v>10</v>
      </c>
      <c r="B4" s="13" t="s">
        <v>26</v>
      </c>
      <c r="C4" s="14" t="s">
        <v>27</v>
      </c>
    </row>
    <row r="7" spans="1:6" ht="12.75">
      <c r="B7" s="212" t="s">
        <v>330</v>
      </c>
    </row>
    <row r="9" spans="1:6" ht="11.25">
      <c r="C9" s="214" t="s">
        <v>331</v>
      </c>
      <c r="F9" s="214" t="s">
        <v>332</v>
      </c>
    </row>
    <row r="11" spans="1:6">
      <c r="D11" s="227" t="s">
        <v>331</v>
      </c>
      <c r="F11" s="15" t="s">
        <v>333</v>
      </c>
    </row>
    <row r="12" spans="1:6">
      <c r="D12" s="228">
        <v>1</v>
      </c>
    </row>
    <row r="13" spans="1:6">
      <c r="D13" s="229">
        <f t="shared" ref="D13:D42" si="0">D12+1</f>
        <v>2</v>
      </c>
    </row>
    <row r="14" spans="1:6">
      <c r="D14" s="229">
        <f t="shared" si="0"/>
        <v>3</v>
      </c>
    </row>
    <row r="15" spans="1:6">
      <c r="D15" s="229">
        <f t="shared" si="0"/>
        <v>4</v>
      </c>
    </row>
    <row r="16" spans="1:6">
      <c r="D16" s="229">
        <f t="shared" si="0"/>
        <v>5</v>
      </c>
    </row>
    <row r="17" spans="4:4">
      <c r="D17" s="229">
        <f t="shared" si="0"/>
        <v>6</v>
      </c>
    </row>
    <row r="18" spans="4:4">
      <c r="D18" s="229">
        <f t="shared" si="0"/>
        <v>7</v>
      </c>
    </row>
    <row r="19" spans="4:4">
      <c r="D19" s="229">
        <f t="shared" si="0"/>
        <v>8</v>
      </c>
    </row>
    <row r="20" spans="4:4">
      <c r="D20" s="229">
        <f t="shared" si="0"/>
        <v>9</v>
      </c>
    </row>
    <row r="21" spans="4:4">
      <c r="D21" s="229">
        <f t="shared" si="0"/>
        <v>10</v>
      </c>
    </row>
    <row r="22" spans="4:4">
      <c r="D22" s="229">
        <f t="shared" si="0"/>
        <v>11</v>
      </c>
    </row>
    <row r="23" spans="4:4">
      <c r="D23" s="229">
        <f t="shared" si="0"/>
        <v>12</v>
      </c>
    </row>
    <row r="24" spans="4:4">
      <c r="D24" s="229">
        <f t="shared" si="0"/>
        <v>13</v>
      </c>
    </row>
    <row r="25" spans="4:4">
      <c r="D25" s="229">
        <f t="shared" si="0"/>
        <v>14</v>
      </c>
    </row>
    <row r="26" spans="4:4">
      <c r="D26" s="229">
        <f t="shared" si="0"/>
        <v>15</v>
      </c>
    </row>
    <row r="27" spans="4:4">
      <c r="D27" s="229">
        <f t="shared" si="0"/>
        <v>16</v>
      </c>
    </row>
    <row r="28" spans="4:4">
      <c r="D28" s="229">
        <f t="shared" si="0"/>
        <v>17</v>
      </c>
    </row>
    <row r="29" spans="4:4">
      <c r="D29" s="229">
        <f t="shared" si="0"/>
        <v>18</v>
      </c>
    </row>
    <row r="30" spans="4:4">
      <c r="D30" s="229">
        <f t="shared" si="0"/>
        <v>19</v>
      </c>
    </row>
    <row r="31" spans="4:4">
      <c r="D31" s="229">
        <f t="shared" si="0"/>
        <v>20</v>
      </c>
    </row>
    <row r="32" spans="4:4">
      <c r="D32" s="229">
        <f t="shared" si="0"/>
        <v>21</v>
      </c>
    </row>
    <row r="33" spans="3:6">
      <c r="D33" s="229">
        <f t="shared" si="0"/>
        <v>22</v>
      </c>
    </row>
    <row r="34" spans="3:6">
      <c r="D34" s="229">
        <f t="shared" si="0"/>
        <v>23</v>
      </c>
    </row>
    <row r="35" spans="3:6">
      <c r="D35" s="229">
        <f t="shared" si="0"/>
        <v>24</v>
      </c>
    </row>
    <row r="36" spans="3:6">
      <c r="D36" s="229">
        <f t="shared" si="0"/>
        <v>25</v>
      </c>
    </row>
    <row r="37" spans="3:6">
      <c r="D37" s="229">
        <f t="shared" si="0"/>
        <v>26</v>
      </c>
    </row>
    <row r="38" spans="3:6">
      <c r="D38" s="229">
        <f t="shared" si="0"/>
        <v>27</v>
      </c>
    </row>
    <row r="39" spans="3:6">
      <c r="D39" s="229">
        <f t="shared" si="0"/>
        <v>28</v>
      </c>
    </row>
    <row r="40" spans="3:6">
      <c r="D40" s="229">
        <f t="shared" si="0"/>
        <v>29</v>
      </c>
    </row>
    <row r="41" spans="3:6">
      <c r="D41" s="229">
        <f t="shared" si="0"/>
        <v>30</v>
      </c>
    </row>
    <row r="42" spans="3:6">
      <c r="D42" s="229">
        <f t="shared" si="0"/>
        <v>31</v>
      </c>
    </row>
    <row r="44" spans="3:6" ht="11.25">
      <c r="C44" s="214" t="s">
        <v>334</v>
      </c>
      <c r="F44" s="214" t="s">
        <v>332</v>
      </c>
    </row>
    <row r="46" spans="3:6">
      <c r="D46" s="227" t="s">
        <v>334</v>
      </c>
      <c r="F46" s="15" t="s">
        <v>335</v>
      </c>
    </row>
    <row r="47" spans="3:6">
      <c r="D47" s="230" t="s">
        <v>336</v>
      </c>
    </row>
    <row r="48" spans="3:6">
      <c r="D48" s="230" t="s">
        <v>337</v>
      </c>
    </row>
    <row r="49" spans="3:6">
      <c r="D49" s="230" t="s">
        <v>338</v>
      </c>
    </row>
    <row r="50" spans="3:6">
      <c r="D50" s="230" t="s">
        <v>339</v>
      </c>
    </row>
    <row r="51" spans="3:6">
      <c r="D51" s="230" t="s">
        <v>340</v>
      </c>
    </row>
    <row r="52" spans="3:6">
      <c r="D52" s="230" t="s">
        <v>341</v>
      </c>
    </row>
    <row r="53" spans="3:6">
      <c r="D53" s="230" t="s">
        <v>342</v>
      </c>
    </row>
    <row r="54" spans="3:6">
      <c r="D54" s="230" t="s">
        <v>343</v>
      </c>
    </row>
    <row r="55" spans="3:6">
      <c r="D55" s="230" t="s">
        <v>344</v>
      </c>
    </row>
    <row r="56" spans="3:6">
      <c r="D56" s="230" t="s">
        <v>345</v>
      </c>
    </row>
    <row r="57" spans="3:6">
      <c r="D57" s="230" t="s">
        <v>346</v>
      </c>
    </row>
    <row r="58" spans="3:6">
      <c r="D58" s="230" t="s">
        <v>347</v>
      </c>
    </row>
    <row r="60" spans="3:6" ht="11.25">
      <c r="C60" s="214" t="s">
        <v>77</v>
      </c>
      <c r="F60" s="214" t="s">
        <v>332</v>
      </c>
    </row>
    <row r="62" spans="3:6">
      <c r="D62" s="227" t="s">
        <v>77</v>
      </c>
      <c r="F62" s="15" t="s">
        <v>348</v>
      </c>
    </row>
    <row r="63" spans="3:6">
      <c r="D63" s="230" t="s">
        <v>349</v>
      </c>
      <c r="F63" s="15" t="s">
        <v>350</v>
      </c>
    </row>
    <row r="64" spans="3:6">
      <c r="D64" s="230" t="s">
        <v>351</v>
      </c>
      <c r="F64" s="15" t="s">
        <v>352</v>
      </c>
    </row>
    <row r="65" spans="3:6">
      <c r="D65" s="230" t="s">
        <v>353</v>
      </c>
      <c r="F65" s="15" t="s">
        <v>354</v>
      </c>
    </row>
    <row r="66" spans="3:6">
      <c r="D66" s="230" t="s">
        <v>355</v>
      </c>
      <c r="F66" s="15" t="s">
        <v>356</v>
      </c>
    </row>
    <row r="68" spans="3:6" ht="11.25">
      <c r="C68" s="214" t="s">
        <v>90</v>
      </c>
      <c r="F68" s="214" t="s">
        <v>332</v>
      </c>
    </row>
    <row r="70" spans="3:6">
      <c r="D70" s="227" t="s">
        <v>90</v>
      </c>
      <c r="F70" s="15" t="s">
        <v>357</v>
      </c>
    </row>
    <row r="71" spans="3:6">
      <c r="D71" s="230" t="s">
        <v>358</v>
      </c>
    </row>
    <row r="72" spans="3:6">
      <c r="D72" s="230" t="s">
        <v>359</v>
      </c>
    </row>
    <row r="74" spans="3:6" ht="11.25">
      <c r="C74" s="214" t="s">
        <v>63</v>
      </c>
      <c r="F74" s="214" t="s">
        <v>332</v>
      </c>
    </row>
    <row r="76" spans="3:6">
      <c r="D76" s="227" t="s">
        <v>63</v>
      </c>
      <c r="F76" s="15" t="s">
        <v>360</v>
      </c>
    </row>
    <row r="77" spans="3:6">
      <c r="D77" s="230" t="s">
        <v>361</v>
      </c>
      <c r="F77" s="15" t="s">
        <v>361</v>
      </c>
    </row>
    <row r="78" spans="3:6">
      <c r="D78" s="230" t="s">
        <v>362</v>
      </c>
      <c r="F78" s="15" t="s">
        <v>363</v>
      </c>
    </row>
    <row r="79" spans="3:6">
      <c r="D79" s="230" t="s">
        <v>364</v>
      </c>
      <c r="F79" s="15" t="s">
        <v>365</v>
      </c>
    </row>
    <row r="80" spans="3:6">
      <c r="D80" s="230" t="s">
        <v>366</v>
      </c>
      <c r="F80" s="15" t="s">
        <v>367</v>
      </c>
    </row>
    <row r="82" spans="3:6" ht="11.25">
      <c r="C82" s="214" t="s">
        <v>368</v>
      </c>
      <c r="F82" s="214" t="s">
        <v>332</v>
      </c>
    </row>
    <row r="84" spans="3:6">
      <c r="D84" s="227" t="s">
        <v>368</v>
      </c>
      <c r="F84" s="15" t="s">
        <v>369</v>
      </c>
    </row>
    <row r="85" spans="3:6">
      <c r="D85" s="230" t="s">
        <v>370</v>
      </c>
      <c r="F85" s="15" t="s">
        <v>371</v>
      </c>
    </row>
    <row r="86" spans="3:6">
      <c r="D86" s="230" t="s">
        <v>372</v>
      </c>
      <c r="F86" s="15" t="s">
        <v>373</v>
      </c>
    </row>
    <row r="87" spans="3:6">
      <c r="D87" s="230" t="s">
        <v>374</v>
      </c>
      <c r="F87" s="15" t="s">
        <v>375</v>
      </c>
    </row>
    <row r="88" spans="3:6">
      <c r="D88" s="230" t="s">
        <v>376</v>
      </c>
      <c r="F88" s="15" t="s">
        <v>377</v>
      </c>
    </row>
    <row r="90" spans="3:6" ht="11.25">
      <c r="C90" s="214" t="s">
        <v>72</v>
      </c>
      <c r="F90" s="214" t="s">
        <v>332</v>
      </c>
    </row>
    <row r="92" spans="3:6">
      <c r="D92" s="227" t="s">
        <v>72</v>
      </c>
      <c r="F92" s="15" t="s">
        <v>378</v>
      </c>
    </row>
    <row r="93" spans="3:6">
      <c r="D93" s="228">
        <v>1</v>
      </c>
      <c r="F93" s="15" t="s">
        <v>379</v>
      </c>
    </row>
    <row r="94" spans="3:6">
      <c r="D94" s="228">
        <v>2</v>
      </c>
      <c r="F94" s="15" t="s">
        <v>380</v>
      </c>
    </row>
    <row r="95" spans="3:6">
      <c r="D95" s="228">
        <v>4</v>
      </c>
      <c r="F95" s="15" t="s">
        <v>381</v>
      </c>
    </row>
    <row r="96" spans="3:6">
      <c r="D96" s="228">
        <v>12</v>
      </c>
      <c r="F96" s="15" t="s">
        <v>382</v>
      </c>
    </row>
    <row r="98" spans="3:6" ht="11.25">
      <c r="C98" s="214" t="s">
        <v>383</v>
      </c>
      <c r="F98" s="214" t="s">
        <v>332</v>
      </c>
    </row>
    <row r="100" spans="3:6">
      <c r="D100" s="227" t="s">
        <v>383</v>
      </c>
    </row>
    <row r="101" spans="3:6">
      <c r="D101" s="228">
        <v>10</v>
      </c>
      <c r="F101" s="15" t="s">
        <v>384</v>
      </c>
    </row>
    <row r="102" spans="3:6">
      <c r="D102" s="228">
        <v>100</v>
      </c>
      <c r="F102" s="15" t="s">
        <v>385</v>
      </c>
    </row>
    <row r="103" spans="3:6">
      <c r="D103" s="228">
        <v>1000</v>
      </c>
      <c r="F103" s="15" t="s">
        <v>386</v>
      </c>
    </row>
    <row r="104" spans="3:6">
      <c r="D104" s="228">
        <v>1000000</v>
      </c>
      <c r="F104" s="15" t="s">
        <v>387</v>
      </c>
    </row>
    <row r="105" spans="3:6">
      <c r="D105" s="228">
        <v>1000000000</v>
      </c>
      <c r="F105" s="15" t="s">
        <v>388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  <hyperlink ref="C4" location="HL_Sheet_Main_42" tooltip="Go to Next Sheet" display="HL_Sheet_Main_42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>
    <pageSetUpPr autoPageBreaks="0"/>
  </sheetPr>
  <dimension ref="A1:F13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389</v>
      </c>
    </row>
    <row r="2" spans="1:6" ht="15">
      <c r="B2" s="7" t="str">
        <f>Model_Name</f>
        <v>SMA 13. Multiple Workbooks - Best Practice Model Example 1</v>
      </c>
    </row>
    <row r="3" spans="1:6">
      <c r="B3" s="241" t="s">
        <v>1</v>
      </c>
      <c r="C3" s="241"/>
      <c r="D3" s="241"/>
    </row>
    <row r="4" spans="1:6" ht="12.75">
      <c r="A4" s="91" t="s">
        <v>10</v>
      </c>
      <c r="B4" s="13" t="s">
        <v>26</v>
      </c>
      <c r="C4" s="14" t="s">
        <v>27</v>
      </c>
    </row>
    <row r="7" spans="1:6" ht="12.75">
      <c r="B7" s="105" t="str">
        <f>B1</f>
        <v>Capital - Lookup Tables</v>
      </c>
    </row>
    <row r="9" spans="1:6" ht="11.25">
      <c r="C9" s="127" t="s">
        <v>390</v>
      </c>
      <c r="F9" s="127" t="s">
        <v>391</v>
      </c>
    </row>
    <row r="11" spans="1:6">
      <c r="D11" s="231" t="s">
        <v>392</v>
      </c>
      <c r="F11" s="5" t="s">
        <v>393</v>
      </c>
    </row>
    <row r="12" spans="1:6">
      <c r="D12" s="232" t="s">
        <v>394</v>
      </c>
    </row>
    <row r="13" spans="1:6">
      <c r="D13" s="232" t="s">
        <v>395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27" tooltip="Go to Next Sheet" display="HL_Sheet_Main_2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>
    <pageSetUpPr autoPageBreaks="0"/>
  </sheetPr>
  <dimension ref="A1:F19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396</v>
      </c>
    </row>
    <row r="2" spans="1:6" ht="15">
      <c r="B2" s="7" t="str">
        <f>Model_Name</f>
        <v>SMA 13. Multiple Workbooks - Best Practice Model Example 1</v>
      </c>
    </row>
    <row r="3" spans="1:6">
      <c r="B3" s="241" t="s">
        <v>1</v>
      </c>
      <c r="C3" s="241"/>
      <c r="D3" s="241"/>
    </row>
    <row r="4" spans="1:6" ht="12.75">
      <c r="A4" s="91" t="s">
        <v>10</v>
      </c>
      <c r="B4" s="13" t="s">
        <v>26</v>
      </c>
    </row>
    <row r="7" spans="1:6" ht="12.75">
      <c r="B7" s="212" t="s">
        <v>397</v>
      </c>
    </row>
    <row r="9" spans="1:6" ht="11.25">
      <c r="C9" s="214" t="s">
        <v>398</v>
      </c>
      <c r="F9" s="214" t="s">
        <v>332</v>
      </c>
    </row>
    <row r="11" spans="1:6">
      <c r="D11" s="227" t="s">
        <v>279</v>
      </c>
      <c r="F11" s="15" t="s">
        <v>399</v>
      </c>
    </row>
    <row r="12" spans="1:6">
      <c r="D12" s="233" t="str">
        <f>IF(TS_Periodicity=Annual,Fcast_TA!J$7,Fcast_TA!J$6)</f>
        <v xml:space="preserve">2010 (F) </v>
      </c>
      <c r="F12" s="15"/>
    </row>
    <row r="13" spans="1:6">
      <c r="D13" s="233" t="str">
        <f>IF(TS_Periodicity=Annual,Fcast_TA!K$7,Fcast_TA!K$6)</f>
        <v xml:space="preserve">2011 (F) </v>
      </c>
      <c r="F13" s="15"/>
    </row>
    <row r="14" spans="1:6">
      <c r="D14" s="233" t="str">
        <f>IF(TS_Periodicity=Annual,Fcast_TA!L$7,Fcast_TA!L$6)</f>
        <v xml:space="preserve">2012 (F) </v>
      </c>
      <c r="F14" s="15"/>
    </row>
    <row r="15" spans="1:6">
      <c r="D15" s="233" t="str">
        <f>IF(TS_Periodicity=Annual,Fcast_TA!M$7,Fcast_TA!M$6)</f>
        <v xml:space="preserve">2013 (F) </v>
      </c>
      <c r="F15" s="15"/>
    </row>
    <row r="16" spans="1:6">
      <c r="D16" s="233" t="str">
        <f>IF(TS_Periodicity=Annual,Fcast_TA!N$7,Fcast_TA!N$6)</f>
        <v xml:space="preserve">2014 (F) </v>
      </c>
      <c r="F16" s="15"/>
    </row>
    <row r="17" spans="4:6">
      <c r="D17" s="233" t="str">
        <f>IF(TS_Periodicity=Annual,Fcast_TA!O$7,Fcast_TA!O$6)</f>
        <v xml:space="preserve">2015 (F) </v>
      </c>
      <c r="F17" s="15"/>
    </row>
    <row r="18" spans="4:6">
      <c r="D18" s="233" t="str">
        <f>IF(TS_Periodicity=Annual,Fcast_TA!P$7,Fcast_TA!P$6)</f>
        <v xml:space="preserve">2016 (F) </v>
      </c>
      <c r="F18" s="15"/>
    </row>
    <row r="19" spans="4:6">
      <c r="D19" s="233" t="str">
        <f>IF(TS_Periodicity=Annual,Fcast_TA!Q$7,Fcast_TA!Q$6)</f>
        <v xml:space="preserve">2017 (F) </v>
      </c>
      <c r="F19" s="15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2" tooltip="Go to Previous Sheet" display="HL_Sheet_Main_4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24</v>
      </c>
    </row>
    <row r="10" spans="3:7" ht="16.5">
      <c r="C10" s="12" t="s">
        <v>25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28</v>
      </c>
    </row>
    <row r="18" spans="3:3">
      <c r="C18" s="15" t="s">
        <v>29</v>
      </c>
    </row>
    <row r="19" spans="3:3">
      <c r="C19" s="15" t="s">
        <v>30</v>
      </c>
    </row>
    <row r="20" spans="3:3">
      <c r="C20" s="15" t="s">
        <v>31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32</v>
      </c>
    </row>
    <row r="10" spans="3:7" ht="16.5">
      <c r="C10" s="12" t="s">
        <v>33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34</v>
      </c>
    </row>
    <row r="18" spans="3:3">
      <c r="C18" s="15" t="s">
        <v>35</v>
      </c>
    </row>
    <row r="19" spans="3:3">
      <c r="C19" s="15" t="s">
        <v>36</v>
      </c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2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2.33203125" defaultRowHeight="10.5"/>
  <cols>
    <col min="1" max="1" width="3.83203125" style="16" customWidth="1"/>
    <col min="2" max="2" width="2.33203125" style="16" customWidth="1"/>
    <col min="3" max="16384" width="2.33203125" style="16"/>
  </cols>
  <sheetData>
    <row r="1" spans="1:41" ht="18">
      <c r="B1" s="17" t="s">
        <v>37</v>
      </c>
    </row>
    <row r="2" spans="1:41" ht="15">
      <c r="B2" s="18" t="str">
        <f>Model_Name</f>
        <v>SMA 13. Multiple Workbooks - Best Practice Model Example 1</v>
      </c>
    </row>
    <row r="3" spans="1:41">
      <c r="B3" s="255" t="s">
        <v>1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</row>
    <row r="4" spans="1:41" ht="12.75">
      <c r="A4" s="19" t="s">
        <v>10</v>
      </c>
      <c r="B4" s="256" t="s">
        <v>26</v>
      </c>
      <c r="C4" s="256"/>
      <c r="D4" s="257" t="s">
        <v>27</v>
      </c>
      <c r="E4" s="257"/>
      <c r="F4" s="258" t="s">
        <v>38</v>
      </c>
      <c r="G4" s="258"/>
      <c r="H4" s="258" t="s">
        <v>39</v>
      </c>
      <c r="I4" s="258"/>
      <c r="J4" s="258" t="s">
        <v>40</v>
      </c>
      <c r="K4" s="258"/>
    </row>
    <row r="7" spans="1:41">
      <c r="V7" s="250" t="s">
        <v>41</v>
      </c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</row>
    <row r="8" spans="1:41"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</row>
    <row r="9" spans="1:41">
      <c r="V9" s="20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2"/>
    </row>
    <row r="10" spans="1:41">
      <c r="V10" s="23"/>
      <c r="W10" s="24" t="s">
        <v>42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6"/>
    </row>
    <row r="11" spans="1:41">
      <c r="V11" s="23"/>
      <c r="W11" s="27" t="s">
        <v>43</v>
      </c>
      <c r="X11" s="28" t="s">
        <v>44</v>
      </c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6"/>
    </row>
    <row r="12" spans="1:41">
      <c r="V12" s="23"/>
      <c r="W12" s="29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6"/>
    </row>
    <row r="13" spans="1:41">
      <c r="V13" s="23"/>
      <c r="W13" s="24" t="s">
        <v>45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6"/>
    </row>
    <row r="14" spans="1:41">
      <c r="V14" s="23"/>
      <c r="W14" s="27" t="s">
        <v>43</v>
      </c>
      <c r="X14" s="251" t="s">
        <v>46</v>
      </c>
      <c r="Y14" s="251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  <c r="AM14" s="251"/>
      <c r="AN14" s="251"/>
      <c r="AO14" s="26"/>
    </row>
    <row r="15" spans="1:41">
      <c r="V15" s="23"/>
      <c r="W15" s="25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6"/>
    </row>
    <row r="16" spans="1:41">
      <c r="V16" s="30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2"/>
    </row>
    <row r="18" spans="22:41">
      <c r="AG18" s="33" t="s">
        <v>43</v>
      </c>
      <c r="AH18" s="16" t="s">
        <v>47</v>
      </c>
    </row>
    <row r="19" spans="22:41">
      <c r="AG19" s="33" t="s">
        <v>43</v>
      </c>
      <c r="AH19" s="16" t="s">
        <v>48</v>
      </c>
    </row>
    <row r="20" spans="22:41">
      <c r="AG20" s="33" t="s">
        <v>43</v>
      </c>
      <c r="AH20" s="16" t="s">
        <v>49</v>
      </c>
    </row>
    <row r="23" spans="22:41">
      <c r="V23" s="252" t="s">
        <v>50</v>
      </c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</row>
    <row r="24" spans="22:41"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  <c r="AN24" s="253"/>
      <c r="AO24" s="253"/>
    </row>
    <row r="25" spans="22:41">
      <c r="V25" s="34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6"/>
    </row>
    <row r="26" spans="22:41">
      <c r="V26" s="37"/>
      <c r="W26" s="38" t="s">
        <v>42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40"/>
    </row>
    <row r="27" spans="22:41">
      <c r="V27" s="37"/>
      <c r="W27" s="41" t="s">
        <v>43</v>
      </c>
      <c r="X27" s="39" t="s">
        <v>51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40"/>
    </row>
    <row r="28" spans="22:41">
      <c r="V28" s="37"/>
      <c r="W28" s="42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</row>
    <row r="29" spans="22:41">
      <c r="V29" s="37"/>
      <c r="W29" s="38" t="s">
        <v>45</v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40"/>
    </row>
    <row r="30" spans="22:41">
      <c r="V30" s="37"/>
      <c r="W30" s="41" t="s">
        <v>43</v>
      </c>
      <c r="X30" s="254" t="s">
        <v>52</v>
      </c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40"/>
    </row>
    <row r="31" spans="22:41">
      <c r="V31" s="37"/>
      <c r="W31" s="39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40"/>
    </row>
    <row r="32" spans="22:41">
      <c r="V32" s="4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5"/>
    </row>
  </sheetData>
  <mergeCells count="10">
    <mergeCell ref="V7:AO8"/>
    <mergeCell ref="X14:AN15"/>
    <mergeCell ref="V23:AO24"/>
    <mergeCell ref="X30:AN31"/>
    <mergeCell ref="B3:L3"/>
    <mergeCell ref="B4:C4"/>
    <mergeCell ref="D4:E4"/>
    <mergeCell ref="F4:G4"/>
    <mergeCell ref="H4:I4"/>
    <mergeCell ref="J4:K4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53</v>
      </c>
    </row>
    <row r="10" spans="3:7" ht="16.5">
      <c r="C10" s="12" t="s">
        <v>54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28</v>
      </c>
    </row>
    <row r="18" spans="3:3">
      <c r="C18" s="15" t="s">
        <v>55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56</v>
      </c>
    </row>
    <row r="10" spans="3:7" ht="16.5">
      <c r="C10" s="12" t="s">
        <v>57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59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style="46" customWidth="1"/>
    <col min="6" max="256" width="11.83203125" style="46" customWidth="1"/>
    <col min="257" max="16384" width="9.33203125" style="46"/>
  </cols>
  <sheetData>
    <row r="1" spans="1:11" ht="18">
      <c r="B1" s="47" t="s">
        <v>56</v>
      </c>
    </row>
    <row r="2" spans="1:11" ht="15">
      <c r="B2" s="48" t="str">
        <f>Model_Name</f>
        <v>SMA 13. Multiple Workbooks - Best Practice Model Example 1</v>
      </c>
    </row>
    <row r="3" spans="1:11">
      <c r="B3" s="271" t="s">
        <v>1</v>
      </c>
      <c r="C3" s="271"/>
      <c r="D3" s="271"/>
      <c r="E3" s="271"/>
      <c r="F3" s="271"/>
    </row>
    <row r="4" spans="1:11" ht="12.75">
      <c r="A4" s="49" t="s">
        <v>10</v>
      </c>
      <c r="B4" s="50" t="s">
        <v>26</v>
      </c>
      <c r="C4" s="51" t="s">
        <v>27</v>
      </c>
      <c r="D4" s="52" t="s">
        <v>38</v>
      </c>
      <c r="E4" s="52" t="s">
        <v>39</v>
      </c>
      <c r="F4" s="53" t="s">
        <v>40</v>
      </c>
    </row>
    <row r="7" spans="1:11" ht="12.75">
      <c r="B7" s="54" t="s">
        <v>56</v>
      </c>
    </row>
    <row r="9" spans="1:11" ht="11.25">
      <c r="C9" s="55" t="s">
        <v>60</v>
      </c>
    </row>
    <row r="11" spans="1:11">
      <c r="D11" s="56" t="s">
        <v>61</v>
      </c>
      <c r="J11" s="272" t="s">
        <v>62</v>
      </c>
      <c r="K11" s="272"/>
    </row>
    <row r="12" spans="1:11">
      <c r="D12" s="56" t="s">
        <v>63</v>
      </c>
      <c r="J12" s="266" t="str">
        <f>Annual</f>
        <v>Annual</v>
      </c>
      <c r="K12" s="266"/>
    </row>
    <row r="13" spans="1:11" ht="15.75" customHeight="1">
      <c r="D13" s="56" t="s">
        <v>64</v>
      </c>
      <c r="J13" s="57">
        <v>31</v>
      </c>
      <c r="K13" s="57">
        <v>12</v>
      </c>
    </row>
    <row r="14" spans="1:11">
      <c r="D14" s="56" t="s">
        <v>65</v>
      </c>
      <c r="J14" s="262">
        <v>40179</v>
      </c>
      <c r="K14" s="263"/>
    </row>
    <row r="15" spans="1:11">
      <c r="D15" s="56" t="s">
        <v>66</v>
      </c>
      <c r="J15" s="273">
        <v>10</v>
      </c>
      <c r="K15" s="273"/>
    </row>
    <row r="16" spans="1:11" ht="10.5" hidden="1" customHeight="1" outlineLevel="2">
      <c r="D16" s="56" t="s">
        <v>67</v>
      </c>
      <c r="J16" s="266" t="str">
        <f>INDEX(LU_Period_Type_Names,MATCH(TS_Periodicity,LU_Periodicity,0))</f>
        <v>Year</v>
      </c>
      <c r="K16" s="266"/>
    </row>
    <row r="17" spans="3:11" ht="10.5" hidden="1" customHeight="1" outlineLevel="2">
      <c r="D17" s="56" t="s">
        <v>68</v>
      </c>
      <c r="J17" s="274" t="str">
        <f>CHOOSE(MATCH(TS_Periodicity,LU_Periodicity,0),Yr_Name,"H","Q","M")</f>
        <v>Year</v>
      </c>
      <c r="K17" s="274"/>
    </row>
    <row r="18" spans="3:11" ht="10.5" hidden="1" customHeight="1" outlineLevel="2">
      <c r="D18" s="56" t="s">
        <v>69</v>
      </c>
      <c r="J18" s="274" t="b">
        <f>OR(AND(DD_TS_Fin_YE_Day&gt;=28,DD_TS_Fin_YE_Mth=2),
DD_TS_Fin_YE_Day&gt;=DAY(EOMONTH(DATE(YEAR(TS_Start_Date),DD_TS_Fin_YE_Mth,1),0)))</f>
        <v>1</v>
      </c>
      <c r="K18" s="274"/>
    </row>
    <row r="19" spans="3:11" ht="10.5" hidden="1" customHeight="1" outlineLevel="2">
      <c r="D19" s="56" t="s">
        <v>70</v>
      </c>
      <c r="J19" s="259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259"/>
    </row>
    <row r="20" spans="3:11" ht="10.5" hidden="1" customHeight="1" outlineLevel="2">
      <c r="D20" s="56" t="s">
        <v>71</v>
      </c>
      <c r="J20" s="259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259"/>
    </row>
    <row r="21" spans="3:11" ht="10.5" hidden="1" customHeight="1" outlineLevel="2">
      <c r="D21" s="56" t="s">
        <v>72</v>
      </c>
      <c r="J21" s="265">
        <f>INDEX(LU_Pers_In_Yr,MATCH(TS_Periodicity,LU_Periodicity,0))</f>
        <v>1</v>
      </c>
      <c r="K21" s="265"/>
    </row>
    <row r="22" spans="3:11" ht="10.5" hidden="1" customHeight="1" outlineLevel="2">
      <c r="D22" s="56" t="s">
        <v>73</v>
      </c>
      <c r="J22" s="265">
        <f>Mths_In_Yr/TS_Pers_In_Yr</f>
        <v>12</v>
      </c>
      <c r="K22" s="265"/>
    </row>
    <row r="23" spans="3:11" ht="10.5" hidden="1" customHeight="1" outlineLevel="2">
      <c r="D23" s="56" t="s">
        <v>74</v>
      </c>
      <c r="J23" s="265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265"/>
    </row>
    <row r="24" spans="3:11" ht="10.5" hidden="1" customHeight="1" outlineLevel="2">
      <c r="D24" s="56" t="s">
        <v>75</v>
      </c>
      <c r="J24" s="259">
        <f>IF(TS_Mth_End,EOMONTH(EDATE(TS_Per_1_FY_Start_Date,(TS_Per_1_Number-1)*TS_Mths_In_Per-1),0)+1,
EDATE(TS_Per_1_FY_Start_Date,(TS_Per_1_Number-1)*TS_Mths_In_Per))</f>
        <v>40179</v>
      </c>
      <c r="K24" s="259"/>
    </row>
    <row r="25" spans="3:11" ht="10.5" hidden="1" customHeight="1" outlineLevel="2">
      <c r="D25" s="56" t="s">
        <v>76</v>
      </c>
      <c r="J25" s="259">
        <f>IF(TS_Mth_End,EOMONTH(EDATE(TS_Per_1_FY_Start_Date,TS_Per_1_Number*TS_Mths_In_Per-1),0),
EDATE(TS_Per_1_FY_Start_Date,TS_Per_1_Number*TS_Mths_In_Per)-1)</f>
        <v>40543</v>
      </c>
      <c r="K25" s="259"/>
    </row>
    <row r="26" spans="3:11" ht="15.75" customHeight="1" collapsed="1">
      <c r="D26" s="56" t="s">
        <v>77</v>
      </c>
      <c r="J26" s="267">
        <v>2</v>
      </c>
      <c r="K26" s="268"/>
    </row>
    <row r="27" spans="3:11" ht="10.5" hidden="1" customHeight="1" outlineLevel="2">
      <c r="D27" s="56" t="s">
        <v>78</v>
      </c>
      <c r="J27" s="266" t="str">
        <f>INDEX(LU_Denom,DD_TS_Denom)</f>
        <v>$Millions</v>
      </c>
      <c r="K27" s="266"/>
    </row>
    <row r="28" spans="3:11" collapsed="1"/>
    <row r="29" spans="3:11" ht="11.25">
      <c r="C29" s="55" t="s">
        <v>79</v>
      </c>
    </row>
    <row r="31" spans="3:11" ht="17.25" customHeight="1">
      <c r="D31" s="56" t="s">
        <v>80</v>
      </c>
      <c r="J31" s="267" t="b">
        <v>1</v>
      </c>
      <c r="K31" s="268"/>
    </row>
    <row r="32" spans="3:11">
      <c r="D32" s="56" t="s">
        <v>81</v>
      </c>
      <c r="J32" s="260">
        <v>0</v>
      </c>
      <c r="K32" s="261"/>
    </row>
    <row r="33" spans="3:11">
      <c r="D33" s="56" t="s">
        <v>82</v>
      </c>
      <c r="J33" s="260">
        <v>0</v>
      </c>
      <c r="K33" s="261"/>
    </row>
    <row r="34" spans="3:11" ht="10.5" hidden="1" customHeight="1" outlineLevel="2">
      <c r="D34" s="56" t="s">
        <v>83</v>
      </c>
      <c r="J34" s="269" t="s">
        <v>84</v>
      </c>
      <c r="K34" s="270"/>
    </row>
    <row r="35" spans="3:11" ht="10.5" hidden="1" customHeight="1" outlineLevel="2">
      <c r="D35" s="56" t="s">
        <v>85</v>
      </c>
      <c r="J35" s="269" t="s">
        <v>86</v>
      </c>
      <c r="K35" s="270"/>
    </row>
    <row r="36" spans="3:11" ht="10.5" hidden="1" customHeight="1" outlineLevel="2">
      <c r="D36" s="56" t="s">
        <v>87</v>
      </c>
      <c r="J36" s="269" t="s">
        <v>88</v>
      </c>
      <c r="K36" s="270"/>
    </row>
    <row r="37" spans="3:11" collapsed="1"/>
    <row r="38" spans="3:11" ht="11.25">
      <c r="C38" s="55" t="s">
        <v>89</v>
      </c>
    </row>
    <row r="40" spans="3:11" ht="15.75" customHeight="1">
      <c r="D40" s="56" t="s">
        <v>90</v>
      </c>
      <c r="J40" s="267">
        <v>1</v>
      </c>
      <c r="K40" s="268"/>
    </row>
    <row r="41" spans="3:11">
      <c r="D41" s="56" t="s">
        <v>91</v>
      </c>
      <c r="J41" s="260">
        <v>3</v>
      </c>
      <c r="K41" s="261"/>
    </row>
    <row r="42" spans="3:11">
      <c r="D42" s="56" t="s">
        <v>92</v>
      </c>
      <c r="J42" s="262">
        <v>41275</v>
      </c>
      <c r="K42" s="263"/>
    </row>
    <row r="43" spans="3:11" hidden="1" outlineLevel="2"/>
    <row r="44" spans="3:11" hidden="1" outlineLevel="2">
      <c r="D44" s="58" t="s">
        <v>93</v>
      </c>
    </row>
    <row r="45" spans="3:11" hidden="1" outlineLevel="2"/>
    <row r="46" spans="3:11" ht="10.5" hidden="1" customHeight="1" outlineLevel="2">
      <c r="E46" s="56" t="s">
        <v>94</v>
      </c>
      <c r="J46" s="259">
        <f>TS_Proj_Start_Date-1</f>
        <v>41274</v>
      </c>
      <c r="K46" s="259"/>
    </row>
    <row r="47" spans="3:11" ht="10.5" hidden="1" customHeight="1" outlineLevel="2">
      <c r="E47" s="56" t="s">
        <v>95</v>
      </c>
      <c r="J47" s="264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264"/>
    </row>
    <row r="48" spans="3:11" ht="10.5" hidden="1" customHeight="1" outlineLevel="2">
      <c r="E48" s="56" t="s">
        <v>96</v>
      </c>
      <c r="J48" s="265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265"/>
    </row>
    <row r="49" spans="3:11" ht="10.5" hidden="1" customHeight="1" outlineLevel="2">
      <c r="E49" s="56" t="s">
        <v>97</v>
      </c>
      <c r="J49" s="266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266"/>
    </row>
    <row r="50" spans="3:11" hidden="1" outlineLevel="2"/>
    <row r="51" spans="3:11" hidden="1" outlineLevel="2">
      <c r="D51" s="58" t="s">
        <v>98</v>
      </c>
    </row>
    <row r="52" spans="3:11" hidden="1" outlineLevel="2"/>
    <row r="53" spans="3:11" ht="10.5" hidden="1" customHeight="1" outlineLevel="2">
      <c r="E53" s="56" t="s">
        <v>99</v>
      </c>
      <c r="J53" s="259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259"/>
    </row>
    <row r="54" spans="3:11" ht="10.5" hidden="1" customHeight="1" outlineLevel="2">
      <c r="E54" s="56" t="s">
        <v>70</v>
      </c>
      <c r="J54" s="259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259"/>
    </row>
    <row r="55" spans="3:11" ht="10.5" hidden="1" customHeight="1" outlineLevel="2">
      <c r="E55" s="56" t="s">
        <v>71</v>
      </c>
      <c r="J55" s="259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259"/>
    </row>
    <row r="56" spans="3:11" ht="10.5" hidden="1" customHeight="1" outlineLevel="2">
      <c r="E56" s="56" t="s">
        <v>74</v>
      </c>
      <c r="J56" s="265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265"/>
    </row>
    <row r="57" spans="3:11" ht="10.5" hidden="1" customHeight="1" outlineLevel="2">
      <c r="E57" s="56" t="s">
        <v>75</v>
      </c>
      <c r="J57" s="259">
        <f>IF(TS_Mth_End,EOMONTH(EDATE(TS_Proj_Per_1_FY_Start_Date,(TS_Proj_Per_1_Number-1)*TS_Mths_In_Per-1),0)+
1,EDATE(TS_Proj_Per_1_FY_Start_Date,(TS_Proj_Per_1_Number-1)*TS_Mths_In_Per))</f>
        <v>41275</v>
      </c>
      <c r="K57" s="259"/>
    </row>
    <row r="58" spans="3:11" ht="10.5" hidden="1" customHeight="1" outlineLevel="2">
      <c r="E58" s="56" t="s">
        <v>76</v>
      </c>
      <c r="J58" s="259">
        <f>IF(TS_Mth_End,EOMONTH(EDATE(TS_Proj_Per_1_FY_Start_Date,TS_Proj_Per_1_Number*TS_Mths_In_Per-1),0),
EDATE(TS_Proj_Per_1_FY_Start_Date,TS_Proj_Per_1_Number*TS_Mths_In_Per)-1)</f>
        <v>41639</v>
      </c>
      <c r="K58" s="259"/>
    </row>
    <row r="59" spans="3:11" collapsed="1"/>
    <row r="60" spans="3:11">
      <c r="C60" s="58" t="s">
        <v>32</v>
      </c>
    </row>
    <row r="61" spans="3:11">
      <c r="C61" s="59" t="s">
        <v>4</v>
      </c>
      <c r="D61" s="56" t="s">
        <v>100</v>
      </c>
    </row>
    <row r="62" spans="3:11">
      <c r="C62" s="59" t="s">
        <v>4</v>
      </c>
      <c r="D62" s="56" t="s">
        <v>101</v>
      </c>
    </row>
    <row r="63" spans="3:11">
      <c r="C63" s="59" t="s">
        <v>4</v>
      </c>
      <c r="D63" s="56" t="s">
        <v>102</v>
      </c>
    </row>
    <row r="64" spans="3:11">
      <c r="C64" s="59" t="s">
        <v>4</v>
      </c>
      <c r="D64" s="60" t="s">
        <v>103</v>
      </c>
    </row>
    <row r="65" spans="3:4">
      <c r="C65" s="59" t="s">
        <v>4</v>
      </c>
      <c r="D65" s="60" t="s">
        <v>104</v>
      </c>
    </row>
  </sheetData>
  <mergeCells count="36">
    <mergeCell ref="J22:K22"/>
    <mergeCell ref="B3:F3"/>
    <mergeCell ref="J11:K11"/>
    <mergeCell ref="J12:K12"/>
    <mergeCell ref="J14:K14"/>
    <mergeCell ref="J15:K15"/>
    <mergeCell ref="J16:K16"/>
    <mergeCell ref="J17:K17"/>
    <mergeCell ref="J18:K18"/>
    <mergeCell ref="J19:K19"/>
    <mergeCell ref="J20:K20"/>
    <mergeCell ref="J21:K21"/>
    <mergeCell ref="J40:K40"/>
    <mergeCell ref="J23:K23"/>
    <mergeCell ref="J24:K24"/>
    <mergeCell ref="J25:K25"/>
    <mergeCell ref="J26:K26"/>
    <mergeCell ref="J27:K27"/>
    <mergeCell ref="J31:K31"/>
    <mergeCell ref="J32:K32"/>
    <mergeCell ref="J33:K33"/>
    <mergeCell ref="J34:K34"/>
    <mergeCell ref="J35:K35"/>
    <mergeCell ref="J36:K36"/>
    <mergeCell ref="J58:K58"/>
    <mergeCell ref="J41:K41"/>
    <mergeCell ref="J42:K42"/>
    <mergeCell ref="J46:K46"/>
    <mergeCell ref="J47:K47"/>
    <mergeCell ref="J48:K48"/>
    <mergeCell ref="J49:K49"/>
    <mergeCell ref="J53:K53"/>
    <mergeCell ref="J54:K54"/>
    <mergeCell ref="J55:K55"/>
    <mergeCell ref="J56:K56"/>
    <mergeCell ref="J57:K57"/>
  </mergeCells>
  <conditionalFormatting sqref="J32">
    <cfRule type="expression" dxfId="63" priority="8" stopIfTrue="1">
      <formula>NOT(J$31)</formula>
    </cfRule>
  </conditionalFormatting>
  <conditionalFormatting sqref="J33">
    <cfRule type="expression" dxfId="62" priority="7" stopIfTrue="1">
      <formula>NOT(J$31)</formula>
    </cfRule>
  </conditionalFormatting>
  <conditionalFormatting sqref="J34">
    <cfRule type="expression" dxfId="61" priority="6" stopIfTrue="1">
      <formula>NOT(J$31)</formula>
    </cfRule>
  </conditionalFormatting>
  <conditionalFormatting sqref="J35">
    <cfRule type="expression" dxfId="60" priority="5" stopIfTrue="1">
      <formula>NOT(J$31)</formula>
    </cfRule>
  </conditionalFormatting>
  <conditionalFormatting sqref="J36">
    <cfRule type="expression" dxfId="59" priority="4" stopIfTrue="1">
      <formula>NOT(J$31)</formula>
    </cfRule>
  </conditionalFormatting>
  <conditionalFormatting sqref="J41">
    <cfRule type="expression" dxfId="58" priority="3" stopIfTrue="1">
      <formula>DD_TS_Data_Term_Basis&lt;&gt;1</formula>
    </cfRule>
  </conditionalFormatting>
  <conditionalFormatting sqref="J42">
    <cfRule type="expression" dxfId="57" priority="1" stopIfTrue="1">
      <formula>DD_TS_Data_Term_Basis&lt;&gt;2</formula>
    </cfRule>
    <cfRule type="cellIs" dxfId="56" priority="2" stopIfTrue="1" operator="lessThan">
      <formula>TS_Start_Date</formula>
    </cfRule>
  </conditionalFormatting>
  <dataValidations count="9">
    <dataValidation type="custom" showErrorMessage="1" errorTitle="Invalid Assumption" error="Assumption must be a number." sqref="J42">
      <formula1>NOT(ISERROR(J42/1))</formula1>
    </dataValidation>
    <dataValidation type="whole" operator="greaterThanOrEqual" showDropDown="1" showErrorMessage="1" errorTitle="Invalid Assumption" error="Assumption must be a whole number greater than or equal to zero." sqref="J41 J32: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105</v>
      </c>
    </row>
    <row r="10" spans="3:7" ht="16.5">
      <c r="C10" s="12" t="s">
        <v>106</v>
      </c>
    </row>
    <row r="11" spans="3:7" ht="15">
      <c r="C11" s="7" t="str">
        <f>Model_Name</f>
        <v>SMA 13. Multiple Workbooks - Best Practice Model Example 1</v>
      </c>
    </row>
    <row r="12" spans="3:7">
      <c r="C12" s="241" t="s">
        <v>1</v>
      </c>
      <c r="D12" s="241"/>
      <c r="E12" s="241"/>
      <c r="F12" s="241"/>
      <c r="G12" s="241"/>
    </row>
    <row r="13" spans="3:7" ht="12.75">
      <c r="C13" s="13" t="s">
        <v>26</v>
      </c>
      <c r="D13" s="14" t="s">
        <v>27</v>
      </c>
    </row>
    <row r="17" spans="3:3">
      <c r="C17" s="3" t="s">
        <v>58</v>
      </c>
    </row>
    <row r="18" spans="3:3">
      <c r="C18" s="15" t="s">
        <v>107</v>
      </c>
    </row>
    <row r="19" spans="3:3">
      <c r="C19" s="15"/>
    </row>
    <row r="20" spans="3:3">
      <c r="C20" s="15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136</vt:i4>
      </vt:variant>
    </vt:vector>
  </HeadingPairs>
  <TitlesOfParts>
    <vt:vector size="164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FS_OP_SSC</vt:lpstr>
      <vt:lpstr>IS_TO</vt:lpstr>
      <vt:lpstr>BS_TO</vt:lpstr>
      <vt:lpstr>CFS_TO</vt:lpstr>
      <vt:lpstr>Dashboards_SSC</vt:lpstr>
      <vt:lpstr>BS_Sum_P_MS</vt:lpstr>
      <vt:lpstr>Appendices_SC</vt:lpstr>
      <vt:lpstr>Model_Imports_SSC</vt:lpstr>
      <vt:lpstr>Model_Exports_MI_TO</vt:lpstr>
      <vt:lpstr>Checks_SSC</vt:lpstr>
      <vt:lpstr>Checks_BO</vt:lpstr>
      <vt:lpstr>LU_SSC</vt:lpstr>
      <vt:lpstr>TS_LU</vt:lpstr>
      <vt:lpstr>Capital_LU</vt:lpstr>
      <vt:lpstr>Dashboards_LU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CB_Eq_Ord_Cash_Limit_Div</vt:lpstr>
      <vt:lpstr>CB_Eq_Ord_Inc_Open_RP_In_NPAT</vt:lpstr>
      <vt:lpstr>CB_Err_Chks_Show_Msg</vt:lpstr>
      <vt:lpstr>CB_Sens_Chks_Show_Msg</vt:lpstr>
      <vt:lpstr>CB_TS_Show_Hist_Fcast_Pers</vt:lpstr>
      <vt:lpstr>Currency</vt:lpstr>
      <vt:lpstr>DD_Eq_Ord_Div_Meth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LI_Tax_Base_Nom_Opex_Base_Nom_Cat_1</vt:lpstr>
      <vt:lpstr>LO_BS_Base_Nom_OP_Cash_Open</vt:lpstr>
      <vt:lpstr>LU_Dashboard_Selected_Period</vt:lpstr>
      <vt:lpstr>LU_Data_Term_Basis</vt:lpstr>
      <vt:lpstr>LU_Denom</vt:lpstr>
      <vt:lpstr>LU_Eq_Ord_Div_Meth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BS_Sum_P_MS!Print_Area</vt:lpstr>
      <vt:lpstr>BS_TO!Print_Area</vt:lpstr>
      <vt:lpstr>Capital_LU!Print_Area</vt:lpstr>
      <vt:lpstr>CFS_TO!Print_Area</vt:lpstr>
      <vt:lpstr>Checks_BO!Print_Area</vt:lpstr>
      <vt:lpstr>Checks_SSC!Print_Area</vt:lpstr>
      <vt:lpstr>Contents!Print_Area</vt:lpstr>
      <vt:lpstr>Cover!Print_Area</vt:lpstr>
      <vt:lpstr>Dashboards_LU!Print_Area</vt:lpstr>
      <vt:lpstr>Dashboards_SSC!Print_Area</vt:lpstr>
      <vt:lpstr>Fcast_Ass_SSC!Print_Area</vt:lpstr>
      <vt:lpstr>Fcast_OP_SSC!Print_Area</vt:lpstr>
      <vt:lpstr>Fcast_TA!Print_Area</vt:lpstr>
      <vt:lpstr>Fcast_TO!Print_Area</vt:lpstr>
      <vt:lpstr>FS_OP_SSC!Print_Area</vt:lpstr>
      <vt:lpstr>IS_TO!Print_Area</vt:lpstr>
      <vt:lpstr>Linked_Workbooks_Diagram_MS!Print_Area</vt:lpstr>
      <vt:lpstr>LU_SSC!Print_Area</vt:lpstr>
      <vt:lpstr>Model_Exports_MI_TO!Print_Area</vt:lpstr>
      <vt:lpstr>Model_Imports_SSC!Print_Area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BS_TO!Print_Titles</vt:lpstr>
      <vt:lpstr>CFS_TO!Print_Titles</vt:lpstr>
      <vt:lpstr>Checks_BO!Print_Titles</vt:lpstr>
      <vt:lpstr>Contents!Print_Titles</vt:lpstr>
      <vt:lpstr>Fcast_TA!Print_Titles</vt:lpstr>
      <vt:lpstr>Fcast_TO!Print_Titles</vt:lpstr>
      <vt:lpstr>IS_TO!Print_Titles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bpmToolbox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Best Practice Modelling</dc:title>
  <dc:creator>Best Practice Modelling</dc:creator>
  <cp:lastModifiedBy>Best Practice Modelling</cp:lastModifiedBy>
  <dcterms:created xsi:type="dcterms:W3CDTF">2010-10-15T03:25:51Z</dcterms:created>
  <dcterms:modified xsi:type="dcterms:W3CDTF">2010-11-30T01:16:19Z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