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45" windowWidth="28635" windowHeight="13320"/>
  </bookViews>
  <sheets>
    <sheet name="Cover" sheetId="4" r:id="rId1"/>
    <sheet name="Contents" sheetId="5" r:id="rId2"/>
    <sheet name="Overview_SC" sheetId="6" r:id="rId3"/>
    <sheet name="Notes_SSC" sheetId="7" r:id="rId4"/>
    <sheet name="Linked_Workbooks_Diagram_MS" sheetId="8" r:id="rId5"/>
    <sheet name="Assumptions_SC" sheetId="9" r:id="rId6"/>
    <sheet name="TS_Ass_SSC" sheetId="10" r:id="rId7"/>
    <sheet name="TS_BA" sheetId="11" r:id="rId8"/>
    <sheet name="Fcast_Ass_SSC" sheetId="12" r:id="rId9"/>
    <sheet name="Fcast_TA" sheetId="13" r:id="rId10"/>
    <sheet name="Base_OP_SC" sheetId="14" r:id="rId11"/>
    <sheet name="Fcast_OP_SSC" sheetId="15" r:id="rId12"/>
    <sheet name="Fcast_TO" sheetId="16" r:id="rId13"/>
    <sheet name="Appendices_SC" sheetId="17" r:id="rId14"/>
    <sheet name="Model_Exports_SSC" sheetId="18" r:id="rId15"/>
    <sheet name="Model_Exports_ME_TO" sheetId="19" r:id="rId16"/>
    <sheet name="Checks_SSC" sheetId="20" r:id="rId17"/>
    <sheet name="Checks_BO" sheetId="21" r:id="rId18"/>
    <sheet name="LU_SSC" sheetId="22" r:id="rId19"/>
    <sheet name="TS_LU" sheetId="23" r:id="rId20"/>
  </sheets>
  <definedNames>
    <definedName name="Alt_Chk_1_Hdg" hidden="1">Fcast_TA!$B$16</definedName>
    <definedName name="Alt_Chk_4_Hdg" hidden="1">Fcast_TO!$B$16</definedName>
    <definedName name="Alt_Chks_Msg">Checks_BO!$I$52</definedName>
    <definedName name="Alt_Chks_Ttl_Areas">Checks_BO!$M$58</definedName>
    <definedName name="Annual">TS_LU!$D$77</definedName>
    <definedName name="BA_Alt_Chks" hidden="1">Checks_BO!$43:$58</definedName>
    <definedName name="BA_Err_Chks" hidden="1">Checks_BO!$5:$26</definedName>
    <definedName name="BA_LU" hidden="1">TS_LU!$5:$105</definedName>
    <definedName name="BA_Sens_Chks" hidden="1">Checks_BO!$27:$42</definedName>
    <definedName name="BA_TS_Ass" hidden="1">TS_BA!$5:$65</definedName>
    <definedName name="Billion">TS_LU!$D$105</definedName>
    <definedName name="Billions">TS_LU!$D$63</definedName>
    <definedName name="BPM_TC_1" hidden="1">Cover!$C$23</definedName>
    <definedName name="BPM_TC_2" hidden="1">Contents!$D$26</definedName>
    <definedName name="BPM_TC_3" hidden="1">Linked_Workbooks_Diagram_MS!$V$7</definedName>
    <definedName name="BPM_TC_4" hidden="1">Model_Exports_SSC!$C$9</definedName>
    <definedName name="BPM_TC_5" hidden="1">Model_Exports_ME_TO!$B$16</definedName>
    <definedName name="BPM_TC_6" hidden="1">Model_Exports_ME_TO!$J$18</definedName>
    <definedName name="BPM_TC_7" hidden="1">Model_Exports_ME_TO!$J$29</definedName>
    <definedName name="CA_Alt_Chks">Checks_BO!$K$57:$K$57</definedName>
    <definedName name="CA_Alt_Chks_Area_Names">Checks_BO!$D$57:$D$57</definedName>
    <definedName name="CA_Alt_Chks_Flags">Checks_BO!$M$57:$M$57</definedName>
    <definedName name="CA_Alt_Chks_Inc">Checks_BO!$L$57:$L$57</definedName>
    <definedName name="CA_Err_Chks">Checks_BO!$K$20:$K$24</definedName>
    <definedName name="CA_Err_Chks_Area_Names">Checks_BO!$D$20:$D$24</definedName>
    <definedName name="CA_Err_Chks_Flags">Checks_BO!$M$20:$M$24</definedName>
    <definedName name="CA_Err_Chks_Inc">Checks_BO!$L$20:$L$24</definedName>
    <definedName name="CA_Sens_Chks">Checks_BO!$K$41:$K$41</definedName>
    <definedName name="CA_Sens_Chks_Area_Names">Checks_BO!$D$41:$D$41</definedName>
    <definedName name="CA_Sens_Chks_Flags">Checks_BO!$M$41:$M$41</definedName>
    <definedName name="CA_Sens_Chks_Inc">Checks_BO!$L$41:$L$41</definedName>
    <definedName name="CB_Alt_Chks_Show_Msg">Checks_BO!$C$47</definedName>
    <definedName name="CB_Err_Chks_Show_Msg">Checks_BO!$C$9</definedName>
    <definedName name="CB_Sens_Chks_Show_Msg">Checks_BO!$C$31</definedName>
    <definedName name="CB_TS_Show_Hist_Fcast_Pers">TS_BA!$J$31</definedName>
    <definedName name="Currency">TS_LU!$D$66</definedName>
    <definedName name="DD_TS_Data_Term_Basis">TS_BA!$J$40</definedName>
    <definedName name="DD_TS_Denom">TS_BA!$J$26</definedName>
    <definedName name="DD_TS_Fin_YE_Day">TS_BA!$J$13</definedName>
    <definedName name="DD_TS_Fin_YE_Mth">TS_BA!$K$13</definedName>
    <definedName name="Err_Chk_1_Hdg" hidden="1">Fcast_TA!$B$29</definedName>
    <definedName name="Err_Chk_2_Hdg" hidden="1">Fcast_TO!$C$27</definedName>
    <definedName name="Err_Chk_3_Hdg" hidden="1">Fcast_TO!$C$44</definedName>
    <definedName name="Err_Chk_4_Hdg" hidden="1">Fcast_TO!$C$64</definedName>
    <definedName name="Err_Chk_5_Hdg" hidden="1">Fcast_TO!$C$76</definedName>
    <definedName name="Err_Chks_Msg">Checks_BO!$I$14</definedName>
    <definedName name="Err_Chks_Ttl_Areas">Checks_BO!$M$26</definedName>
    <definedName name="Half_Yr_Name">TS_LU!$D$86</definedName>
    <definedName name="Halves_In_Yr">TS_LU!$D$94</definedName>
    <definedName name="HL_Alt_Chk">Checks_BO!$B$45</definedName>
    <definedName name="HL_Err_Chk">Checks_BO!$B$7</definedName>
    <definedName name="HL_Err_Chk_1" hidden="1">Fcast_TA!$I$34</definedName>
    <definedName name="HL_Err_Chk_2" hidden="1">Fcast_TO!$I$42</definedName>
    <definedName name="HL_Err_Chk_3" hidden="1">Fcast_TO!$I$59</definedName>
    <definedName name="HL_Err_Chk_4" hidden="1">Fcast_TO!$I$74</definedName>
    <definedName name="HL_Err_Chk_5" hidden="1">Fcast_TO!$I$86</definedName>
    <definedName name="HL_Home">Contents!$B$1</definedName>
    <definedName name="HL_Sens_Chk">Checks_BO!$B$29</definedName>
    <definedName name="HL_Sheet_Main" hidden="1">Linked_Workbooks_Diagram_MS!$A$1</definedName>
    <definedName name="HL_Sheet_Main_10" hidden="1">TS_BA!$A$1</definedName>
    <definedName name="HL_Sheet_Main_11" hidden="1">Assumptions_SC!$A$1</definedName>
    <definedName name="HL_Sheet_Main_12" hidden="1">Fcast_TA!$A$1</definedName>
    <definedName name="HL_Sheet_Main_13" hidden="1">Checks_SSC!$A$1</definedName>
    <definedName name="HL_Sheet_Main_14" hidden="1">Checks_BO!$A$1</definedName>
    <definedName name="HL_Sheet_Main_15" hidden="1">Fcast_OP_SSC!$A$1</definedName>
    <definedName name="HL_Sheet_Main_16" hidden="1">Base_OP_SC!$A$1</definedName>
    <definedName name="HL_Sheet_Main_17" hidden="1">Fcast_TO!$A$1</definedName>
    <definedName name="HL_Sheet_Main_2" hidden="1">Overview_SC!$A$1</definedName>
    <definedName name="HL_Sheet_Main_21" hidden="1">Model_Exports_ME_TO!$A$1</definedName>
    <definedName name="HL_Sheet_Main_24" hidden="1">Contents!$A$1</definedName>
    <definedName name="HL_Sheet_Main_25" hidden="1">Cover!$A$1</definedName>
    <definedName name="HL_Sheet_Main_3" hidden="1">Notes_SSC!$A$1</definedName>
    <definedName name="HL_Sheet_Main_39" hidden="1">Appendices_SC!$A$1</definedName>
    <definedName name="HL_Sheet_Main_4" hidden="1">TS_Ass_SSC!$A$1</definedName>
    <definedName name="HL_Sheet_Main_40" hidden="1">LU_SSC!$A$1</definedName>
    <definedName name="HL_Sheet_Main_5" hidden="1">Fcast_Ass_SSC!$A$1</definedName>
    <definedName name="HL_Sheet_Main_8" hidden="1">Model_Exports_SSC!$A$1</definedName>
    <definedName name="HL_Sheet_Main_9" hidden="1">TS_LU!$A$1</definedName>
    <definedName name="HL_TOC_10" hidden="1">Fcast_TA!$B$41</definedName>
    <definedName name="HL_TOC_17" hidden="1">Fcast_TO!$B$62</definedName>
    <definedName name="HL_TOC_21" hidden="1">Fcast_TO!$B$16</definedName>
    <definedName name="HL_TOC_24" hidden="1">Fcast_TO!$B$25</definedName>
    <definedName name="HL_TOC_4" hidden="1">TS_LU!$B$7</definedName>
    <definedName name="HL_TOC_5" hidden="1">Fcast_TA!$B$16</definedName>
    <definedName name="HL_TOC_6" hidden="1">Checks_BO!$B$7</definedName>
    <definedName name="HL_TOC_7" hidden="1">Checks_BO!$B$29</definedName>
    <definedName name="HL_TOC_8" hidden="1">Checks_BO!$B$45</definedName>
    <definedName name="HL_TOC_9" hidden="1">Fcast_TA!$B$29</definedName>
    <definedName name="Hundred">TS_LU!$D$102</definedName>
    <definedName name="LU_Data_Term_Basis">TS_LU!$D$71:$D$72</definedName>
    <definedName name="LU_Denom">TS_LU!$D$63:$D$66</definedName>
    <definedName name="LU_Mth_Days">TS_LU!$D$12:$D$42</definedName>
    <definedName name="LU_Mth_Names">TS_LU!$D$47:$D$58</definedName>
    <definedName name="LU_Period_Type_Names">TS_LU!$D$85:$D$88</definedName>
    <definedName name="LU_Periodicity">TS_LU!$D$77:$D$80</definedName>
    <definedName name="LU_Pers_In_Yr">TS_LU!$D$93:$D$96</definedName>
    <definedName name="Million">TS_LU!$D$104</definedName>
    <definedName name="Millions">TS_LU!$D$64</definedName>
    <definedName name="Model_Name">Cover!$C$10</definedName>
    <definedName name="Mth_Name">TS_LU!$D$88</definedName>
    <definedName name="Mthly">TS_LU!$D$80</definedName>
    <definedName name="Mths_In_Yr">TS_LU!$D$96</definedName>
    <definedName name="_xlnm.Print_Area" localSheetId="13">Appendices_SC!$B$1:$N$30</definedName>
    <definedName name="_xlnm.Print_Area" localSheetId="5">Assumptions_SC!$B$1:$N$30</definedName>
    <definedName name="_xlnm.Print_Area" localSheetId="10">Base_OP_SC!$B$1:$N$30</definedName>
    <definedName name="_xlnm.Print_Area" localSheetId="17">Checks_BO!$B$1:$M$58</definedName>
    <definedName name="_xlnm.Print_Area" localSheetId="16">Checks_SSC!$B$1:$N$30</definedName>
    <definedName name="_xlnm.Print_Area" localSheetId="1">Contents!$B$1:$Q$36</definedName>
    <definedName name="_xlnm.Print_Area" localSheetId="0">Cover!$B$1:$N$27</definedName>
    <definedName name="_xlnm.Print_Area" localSheetId="8">Fcast_Ass_SSC!$B$1:$N$30</definedName>
    <definedName name="_xlnm.Print_Area" localSheetId="11">Fcast_OP_SSC!$B$1:$N$30</definedName>
    <definedName name="_xlnm.Print_Area" localSheetId="9">Fcast_TA!$B$1:$Q$48</definedName>
    <definedName name="_xlnm.Print_Area" localSheetId="12">Fcast_TO!$B$1:$Q$86</definedName>
    <definedName name="_xlnm.Print_Area" localSheetId="4">Linked_Workbooks_Diagram_MS!$B$1:$BI$39</definedName>
    <definedName name="_xlnm.Print_Area" localSheetId="18">LU_SSC!$B$1:$N$30</definedName>
    <definedName name="_xlnm.Print_Area" localSheetId="15">Model_Exports_ME_TO!$B$1:$Q$60</definedName>
    <definedName name="_xlnm.Print_Area" localSheetId="14">Model_Exports_SSC!$B$1:$N$30</definedName>
    <definedName name="_xlnm.Print_Area" localSheetId="3">Notes_SSC!$B$1:$N$30</definedName>
    <definedName name="_xlnm.Print_Area" localSheetId="2">Overview_SC!$B$1:$N$30</definedName>
    <definedName name="_xlnm.Print_Area" localSheetId="6">TS_Ass_SSC!$B$1:$N$30</definedName>
    <definedName name="_xlnm.Print_Area" localSheetId="7">TS_BA!$B$1:$N$66</definedName>
    <definedName name="_xlnm.Print_Area" localSheetId="19">TS_LU!$B$1:$G$105</definedName>
    <definedName name="_xlnm.Print_Titles" localSheetId="17">Checks_BO!$1:$6</definedName>
    <definedName name="_xlnm.Print_Titles" localSheetId="1">Contents!$1:$7</definedName>
    <definedName name="_xlnm.Print_Titles" localSheetId="9">Fcast_TA!$1:$15</definedName>
    <definedName name="_xlnm.Print_Titles" localSheetId="12">Fcast_TO!$1:$15</definedName>
    <definedName name="_xlnm.Print_Titles" localSheetId="15">Model_Exports_ME_TO!$1:$15</definedName>
    <definedName name="_xlnm.Print_Titles" localSheetId="7">TS_BA!$1:$6</definedName>
    <definedName name="_xlnm.Print_Titles" localSheetId="19">TS_LU!$1:$8</definedName>
    <definedName name="Qtr_Name">TS_LU!$D$87</definedName>
    <definedName name="Qtrly">TS_LU!$D$79</definedName>
    <definedName name="Qtrs_In_Yr">TS_LU!$D$95</definedName>
    <definedName name="RA_TS_Ass_Actual_Per_Title" hidden="1">TS_BA!$34:$34</definedName>
    <definedName name="RA_TS_Ass_Actual_Pers" hidden="1">TS_BA!$32:$32</definedName>
    <definedName name="RA_TS_Ass_Budget_Per_Title" hidden="1">TS_BA!$35:$35</definedName>
    <definedName name="RA_TS_Ass_Budget_Pers" hidden="1">TS_BA!$33:$33</definedName>
    <definedName name="RA_TS_Ass_Core_Fin_YE" hidden="1">TS_BA!$13:$13</definedName>
    <definedName name="RA_TS_Ass_Core_Main_Ass_Hdg" hidden="1">TS_BA!$9:$9</definedName>
    <definedName name="RA_TS_Ass_Core_Main_Ass_Hdg_Spacer" hidden="1">TS_BA!$8:$8</definedName>
    <definedName name="RA_TS_Ass_Core_Main_Ass_Spacer" hidden="1">TS_BA!$10:$10</definedName>
    <definedName name="RA_TS_Ass_Core_Main_Hdg" hidden="1">TS_BA!$7:$7</definedName>
    <definedName name="RA_TS_Ass_Core_Main_Hdg_Spacer1" hidden="1">TS_BA!$5:$5</definedName>
    <definedName name="RA_TS_Ass_Core_Main_Hdg_Spacer2" hidden="1">TS_BA!$6:$6</definedName>
    <definedName name="RA_TS_Ass_Data_Ass_Spacer" hidden="1">TS_BA!$45:$45</definedName>
    <definedName name="RA_TS_Ass_Data_End_Date" hidden="1">TS_BA!$46:$46</definedName>
    <definedName name="RA_TS_Ass_Data_Final_Stub" hidden="1">TS_BA!$49:$49</definedName>
    <definedName name="RA_TS_Ass_Data_Full_Pers" hidden="1">TS_BA!$48:$48</definedName>
    <definedName name="RA_TS_Ass_Data_Hdg" hidden="1">TS_BA!$44:$44</definedName>
    <definedName name="RA_TS_Ass_Data_Hdg_Spacer" hidden="1">TS_BA!$43:$43</definedName>
    <definedName name="RA_TS_Ass_Data_Pers_Ass" hidden="1">TS_BA!$41:$41</definedName>
    <definedName name="RA_TS_Ass_Data_Proj_Ass_Spacer" hidden="1">TS_BA!$39:$39</definedName>
    <definedName name="RA_TS_Ass_Data_Proj_Hdg" hidden="1">TS_BA!$38:$38</definedName>
    <definedName name="RA_TS_Ass_Data_Proj_Hdg_Spacer" hidden="1">TS_BA!$37:$37</definedName>
    <definedName name="RA_TS_Ass_Data_Term_Basis" hidden="1">TS_BA!$40:$40</definedName>
    <definedName name="RA_TS_Ass_Data_Total_Pers" hidden="1">TS_BA!$47:$47</definedName>
    <definedName name="RA_TS_Ass_Denom" hidden="1">TS_BA!$26:$26</definedName>
    <definedName name="RA_TS_Ass_Denom_Label" hidden="1">TS_BA!$27:$27</definedName>
    <definedName name="RA_TS_Ass_Fcast_Per_Title" hidden="1">TS_BA!$36:$36</definedName>
    <definedName name="RA_TS_Ass_Hist_Fcast_Ass_Spacer" hidden="1">TS_BA!$30:$30</definedName>
    <definedName name="RA_TS_Ass_Hist_Fcast_Hdg" hidden="1">TS_BA!$29:$29</definedName>
    <definedName name="RA_TS_Ass_Hist_Fcast_Hdg_Spacer" hidden="1">TS_BA!$28:$28</definedName>
    <definedName name="RA_TS_Ass_Mth_End" hidden="1">TS_BA!$18:$18</definedName>
    <definedName name="RA_TS_Ass_Mths_In_Per" hidden="1">TS_BA!$22:$22</definedName>
    <definedName name="RA_TS_Ass_Note_Budget_Per" hidden="1">TS_BA!$63:$63</definedName>
    <definedName name="RA_TS_Ass_Note_Data_Proj_Timing" hidden="1">TS_BA!$64:$64</definedName>
    <definedName name="RA_TS_Ass_Note_Denom" hidden="1">TS_BA!$62:$62</definedName>
    <definedName name="RA_TS_Ass_Note_Fin_YE" hidden="1">TS_BA!$61:$61</definedName>
    <definedName name="RA_TS_Ass_Note_Inactive_Cols_Treat" hidden="1">TS_BA!$65:$65</definedName>
    <definedName name="RA_TS_Ass_Notes_Hdg" hidden="1">TS_BA!$60:$60</definedName>
    <definedName name="RA_TS_Ass_Notes_Hdg_Spacer" hidden="1">TS_BA!$59:$59</definedName>
    <definedName name="RA_TS_Ass_Per_1_End_Date" hidden="1">TS_BA!$25:$25</definedName>
    <definedName name="RA_TS_Ass_Per_1_FY_End_Date" hidden="1">TS_BA!$20:$20</definedName>
    <definedName name="RA_TS_Ass_Per_1_FY_Start_Date" hidden="1">TS_BA!$19:$19</definedName>
    <definedName name="RA_TS_Ass_Per_1_Number" hidden="1">TS_BA!$23:$23</definedName>
    <definedName name="RA_TS_Ass_Per_1_Start_Date" hidden="1">TS_BA!$24:$24</definedName>
    <definedName name="RA_TS_Ass_Per_Type_Name" hidden="1">TS_BA!$16:$16</definedName>
    <definedName name="RA_TS_Ass_Per_Type_Prefix" hidden="1">TS_BA!$17:$17</definedName>
    <definedName name="RA_TS_Ass_Periodicity" hidden="1">TS_BA!$12:$12</definedName>
    <definedName name="RA_TS_Ass_Pers_In_Yr" hidden="1">TS_BA!$21:$21</definedName>
    <definedName name="RA_TS_Ass_Proj_Ass_Spacer" hidden="1">TS_BA!$52:$52</definedName>
    <definedName name="RA_TS_Ass_Proj_Hdg" hidden="1">TS_BA!$51:$51</definedName>
    <definedName name="RA_TS_Ass_Proj_Hdg_Spacer" hidden="1">TS_BA!$50:$50</definedName>
    <definedName name="RA_TS_Ass_Proj_Per_1_End_Date" hidden="1">TS_BA!$58:$58</definedName>
    <definedName name="RA_TS_Ass_Proj_Per_1_FY_End_Date" hidden="1">TS_BA!$55:$55</definedName>
    <definedName name="RA_TS_Ass_Proj_Per_1_FY_Start_Date" hidden="1">TS_BA!$54:$54</definedName>
    <definedName name="RA_TS_Ass_Proj_Per_1_Number" hidden="1">TS_BA!$56:$56</definedName>
    <definedName name="RA_TS_Ass_Proj_Per_1_Start_Date" hidden="1">TS_BA!$57:$57</definedName>
    <definedName name="RA_TS_Ass_Proj_Start_Date" hidden="1">TS_BA!$53:$53</definedName>
    <definedName name="RA_TS_Ass_Proj_Start_Date_Ass" hidden="1">TS_BA!$42:$42</definedName>
    <definedName name="RA_TS_Ass_Show_Hist_Fcast_Pers" hidden="1">TS_BA!$31:$31</definedName>
    <definedName name="RA_TS_Ass_Start_Date" hidden="1">TS_BA!$14:$14</definedName>
    <definedName name="RA_TS_Ass_Std_Pers" hidden="1">TS_BA!$15:$15</definedName>
    <definedName name="RA_TS_Ass_Title" hidden="1">TS_BA!$11:$11</definedName>
    <definedName name="Semi_Annual">TS_LU!$D$78</definedName>
    <definedName name="Sens_Chks_Msg">Checks_BO!$I$36</definedName>
    <definedName name="Sens_Chks_Ttl_Areas">Checks_BO!$M$42</definedName>
    <definedName name="TBXBST" localSheetId="13" hidden="1">"|B|SC|B|"</definedName>
    <definedName name="TBXBST" localSheetId="5" hidden="1">"|B|SC|B|"</definedName>
    <definedName name="TBXBST" localSheetId="10" hidden="1">"|B|SC|B|"</definedName>
    <definedName name="TBXBST" localSheetId="17" hidden="1">"|B|BO|B|"</definedName>
    <definedName name="TBXBST" localSheetId="16" hidden="1">"|B|SSC|B|"</definedName>
    <definedName name="TBXBST" localSheetId="1" hidden="1">"|B|Contents|B|"</definedName>
    <definedName name="TBXBST" localSheetId="0" hidden="1">"|B|Cover|B|"</definedName>
    <definedName name="TBXBST" localSheetId="8" hidden="1">"|B|SSC|B|"</definedName>
    <definedName name="TBXBST" localSheetId="11" hidden="1">"|B|SSC|B|"</definedName>
    <definedName name="TBXBST" localSheetId="9" hidden="1">"|B|TA|B||T|All|T||N|1|N||FTSCN|10|FTSCN||TSP|10|TSP|"</definedName>
    <definedName name="TBXBST" localSheetId="12" hidden="1">"|B|TO|B||T|All|T||N|1|N||FTSCN|10|FTSCN||TSP|10|TSP|"</definedName>
    <definedName name="TBXBST" localSheetId="4" hidden="1">"|B|MS|B||P|"</definedName>
    <definedName name="TBXBST" localSheetId="18" hidden="1">"|B|SSC|B|"</definedName>
    <definedName name="TBXBST" localSheetId="15" hidden="1">"|B|TO|B||T|All|T||N|1|N||FTSCN|10|FTSCN||TSP|10|TSP|"</definedName>
    <definedName name="TBXBST" localSheetId="14" hidden="1">"|B|SSC|B|"</definedName>
    <definedName name="TBXBST" localSheetId="3" hidden="1">"|B|SSC|B|"</definedName>
    <definedName name="TBXBST" localSheetId="2" hidden="1">"|B|SC|B|"</definedName>
    <definedName name="TBXBST" localSheetId="6" hidden="1">"|B|SSC|B|"</definedName>
    <definedName name="TBXBST" localSheetId="7" hidden="1">"|B|BA|B|"</definedName>
    <definedName name="TBXBST" localSheetId="19" hidden="1">"|B|LU|B|"</definedName>
    <definedName name="Ten">TS_LU!$D$101</definedName>
    <definedName name="Thousand">TS_LU!$D$103</definedName>
    <definedName name="Thousands">TS_LU!$D$65</definedName>
    <definedName name="TOC_Hdg_10" hidden="1">Fcast_TA!$B$41</definedName>
    <definedName name="TOC_Hdg_17" hidden="1">Fcast_TO!$B$62</definedName>
    <definedName name="TOC_Hdg_21" hidden="1">Fcast_TO!$B$16</definedName>
    <definedName name="TOC_Hdg_24" hidden="1">Fcast_TO!$B$25</definedName>
    <definedName name="TOC_Hdg_4" hidden="1">TS_LU!$B$7</definedName>
    <definedName name="TOC_Hdg_5" hidden="1">Fcast_TA!$B$16</definedName>
    <definedName name="TOC_Hdg_6" hidden="1">Checks_BO!$B$7</definedName>
    <definedName name="TOC_Hdg_7" hidden="1">Checks_BO!$B$29</definedName>
    <definedName name="TOC_Hdg_8" hidden="1">Checks_BO!$B$45</definedName>
    <definedName name="TOC_Hdg_9" hidden="1">Fcast_TA!$B$29</definedName>
    <definedName name="TS">TS_BA!$J$65</definedName>
    <definedName name="TS_Actual_Per_Title">TS_BA!$J$34</definedName>
    <definedName name="TS_Actual_Pers">TS_BA!$J$32</definedName>
    <definedName name="TS_Budget_Per_Title">TS_BA!$J$35</definedName>
    <definedName name="TS_Budget_Pers">TS_BA!$J$33</definedName>
    <definedName name="TS_Data_End_Date">TS_BA!$J$46</definedName>
    <definedName name="TS_Data_Final_Stub">TS_BA!$J$49</definedName>
    <definedName name="TS_Data_Full_Pers">TS_BA!$J$48</definedName>
    <definedName name="TS_Data_Pers_Ass">TS_BA!$J$41</definedName>
    <definedName name="TS_Data_Total_Pers">TS_BA!$J$47</definedName>
    <definedName name="TS_Denom_Label">TS_BA!$J$27</definedName>
    <definedName name="TS_Fcast_Per_Title">TS_BA!$J$36</definedName>
    <definedName name="TS_Mth_End">TS_BA!$J$18</definedName>
    <definedName name="TS_Mths_In_Per">TS_BA!$J$22</definedName>
    <definedName name="TS_Per_1_End_Date">TS_BA!$J$25</definedName>
    <definedName name="TS_Per_1_FY_End_Date">TS_BA!$J$20</definedName>
    <definedName name="TS_Per_1_FY_Start_Date">TS_BA!$J$19</definedName>
    <definedName name="TS_Per_1_Number">TS_BA!$J$23</definedName>
    <definedName name="TS_Per_1_Start_Date">TS_BA!$J$24</definedName>
    <definedName name="TS_Per_Type_Name">TS_BA!$J$16</definedName>
    <definedName name="TS_Per_Type_Prefix">TS_BA!$J$17</definedName>
    <definedName name="TS_Periodicity">TS_BA!$J$12</definedName>
    <definedName name="TS_Pers_In_Yr">TS_BA!$J$21</definedName>
    <definedName name="TS_Proj_Per_1_End_Date">TS_BA!$J$58</definedName>
    <definedName name="TS_Proj_Per_1_FY_End_Date">TS_BA!$J$55</definedName>
    <definedName name="TS_Proj_Per_1_FY_Start_Date">TS_BA!$J$54</definedName>
    <definedName name="TS_Proj_Per_1_Number">TS_BA!$J$56</definedName>
    <definedName name="TS_Proj_Per_1_Start_Date">TS_BA!$J$57</definedName>
    <definedName name="TS_Proj_Start_Date">TS_BA!$J$53</definedName>
    <definedName name="TS_Proj_Start_Date_Ass">TS_BA!$J$42</definedName>
    <definedName name="TS_Start_Date">TS_BA!$J$14</definedName>
    <definedName name="TS_Std_Pers">TS_BA!$J$15</definedName>
    <definedName name="TS_Title">TS_BA!$J$11</definedName>
    <definedName name="Yr_Name">TS_LU!$D$85</definedName>
    <definedName name="Yrs_In_Yr">TS_LU!$D$93</definedName>
  </definedNames>
  <calcPr calcId="125725"/>
</workbook>
</file>

<file path=xl/calcChain.xml><?xml version="1.0" encoding="utf-8"?>
<calcChain xmlns="http://schemas.openxmlformats.org/spreadsheetml/2006/main">
  <c r="H34" i="5"/>
  <c r="F33"/>
  <c r="I32"/>
  <c r="I31"/>
  <c r="I30"/>
  <c r="H29"/>
  <c r="F28"/>
  <c r="H27"/>
  <c r="F26"/>
  <c r="D25"/>
  <c r="I24"/>
  <c r="I23"/>
  <c r="I22"/>
  <c r="H21"/>
  <c r="F20"/>
  <c r="D19"/>
  <c r="I18"/>
  <c r="I17"/>
  <c r="I16"/>
  <c r="H15"/>
  <c r="F14"/>
  <c r="H13"/>
  <c r="F12"/>
  <c r="D11"/>
  <c r="H10"/>
  <c r="F9"/>
  <c r="D8"/>
  <c r="D13" i="23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M58" i="21"/>
  <c r="I52" s="1"/>
  <c r="D51"/>
  <c r="M42"/>
  <c r="I36" s="1"/>
  <c r="D35"/>
  <c r="D20"/>
  <c r="D13"/>
  <c r="D60" i="19"/>
  <c r="D59"/>
  <c r="D58"/>
  <c r="D56"/>
  <c r="D52"/>
  <c r="D51"/>
  <c r="D50"/>
  <c r="D48"/>
  <c r="B44"/>
  <c r="D41"/>
  <c r="D40"/>
  <c r="D39"/>
  <c r="D38"/>
  <c r="D37"/>
  <c r="D33"/>
  <c r="D32"/>
  <c r="D31"/>
  <c r="D29"/>
  <c r="B25"/>
  <c r="B16"/>
  <c r="Q12"/>
  <c r="P12"/>
  <c r="O12"/>
  <c r="N12"/>
  <c r="M12"/>
  <c r="L12"/>
  <c r="K12"/>
  <c r="J12"/>
  <c r="J8"/>
  <c r="Q80" i="16"/>
  <c r="Q58" i="19" s="1"/>
  <c r="P80" i="16"/>
  <c r="P58" i="19" s="1"/>
  <c r="O80" i="16"/>
  <c r="O58" i="19" s="1"/>
  <c r="N80" i="16"/>
  <c r="N58" i="19" s="1"/>
  <c r="M80" i="16"/>
  <c r="M58" i="19" s="1"/>
  <c r="L80" i="16"/>
  <c r="L58" i="19" s="1"/>
  <c r="K80" i="16"/>
  <c r="K58" i="19" s="1"/>
  <c r="J80" i="16"/>
  <c r="J58" i="19" s="1"/>
  <c r="C76" i="16"/>
  <c r="D24" i="21" s="1"/>
  <c r="Q68" i="16"/>
  <c r="Q50" i="19" s="1"/>
  <c r="P68" i="16"/>
  <c r="P50" i="19" s="1"/>
  <c r="O68" i="16"/>
  <c r="O50" i="19" s="1"/>
  <c r="N68" i="16"/>
  <c r="N50" i="19" s="1"/>
  <c r="M68" i="16"/>
  <c r="M50" i="19" s="1"/>
  <c r="L68" i="16"/>
  <c r="L50" i="19" s="1"/>
  <c r="K68" i="16"/>
  <c r="K50" i="19" s="1"/>
  <c r="J68" i="16"/>
  <c r="J50" i="19" s="1"/>
  <c r="C64" i="16"/>
  <c r="D23" i="21" s="1"/>
  <c r="Q53" i="16"/>
  <c r="P53"/>
  <c r="O53"/>
  <c r="N53"/>
  <c r="M53"/>
  <c r="L53"/>
  <c r="K53"/>
  <c r="J53"/>
  <c r="C44"/>
  <c r="Q36"/>
  <c r="P36"/>
  <c r="O36"/>
  <c r="N36"/>
  <c r="M36"/>
  <c r="L36"/>
  <c r="K36"/>
  <c r="J36"/>
  <c r="C27"/>
  <c r="C22"/>
  <c r="C21"/>
  <c r="C20"/>
  <c r="C20" i="19" s="1"/>
  <c r="C19" i="16"/>
  <c r="C19" i="19" s="1"/>
  <c r="C18" i="16"/>
  <c r="C18" i="19" s="1"/>
  <c r="Q12" i="16"/>
  <c r="P12"/>
  <c r="O12"/>
  <c r="N12"/>
  <c r="M12"/>
  <c r="L12"/>
  <c r="K12"/>
  <c r="J12"/>
  <c r="J46" s="1"/>
  <c r="D47" i="13"/>
  <c r="D37"/>
  <c r="D25"/>
  <c r="Q12"/>
  <c r="P12"/>
  <c r="O12"/>
  <c r="N12"/>
  <c r="M12"/>
  <c r="L12"/>
  <c r="K12"/>
  <c r="J12"/>
  <c r="J8" s="1"/>
  <c r="J27" i="11"/>
  <c r="J18"/>
  <c r="J12"/>
  <c r="D52" i="16" s="1"/>
  <c r="I35" i="21" l="1"/>
  <c r="J8" i="16"/>
  <c r="J16" i="11"/>
  <c r="I51" i="21"/>
  <c r="J37" i="19"/>
  <c r="C21"/>
  <c r="D67" i="16"/>
  <c r="D49" i="19" s="1"/>
  <c r="C27"/>
  <c r="D21" i="21"/>
  <c r="J17" i="11"/>
  <c r="J21"/>
  <c r="J18" i="16"/>
  <c r="J20"/>
  <c r="J22"/>
  <c r="D35"/>
  <c r="J78"/>
  <c r="J66"/>
  <c r="C22" i="19"/>
  <c r="D79" i="16"/>
  <c r="D57" i="19" s="1"/>
  <c r="D22" i="21"/>
  <c r="C35" i="19"/>
  <c r="J20" i="11"/>
  <c r="J19" i="16"/>
  <c r="J21"/>
  <c r="K22"/>
  <c r="J29"/>
  <c r="D30"/>
  <c r="D30" i="19" s="1"/>
  <c r="C46"/>
  <c r="C54"/>
  <c r="J29" l="1"/>
  <c r="K22"/>
  <c r="K79" i="16"/>
  <c r="J21" i="19"/>
  <c r="J67" i="16"/>
  <c r="J19" i="19"/>
  <c r="J47" i="16"/>
  <c r="J48" i="19"/>
  <c r="Q11"/>
  <c r="O11"/>
  <c r="M11"/>
  <c r="K11"/>
  <c r="P6"/>
  <c r="N6"/>
  <c r="L6"/>
  <c r="J6"/>
  <c r="P11"/>
  <c r="N11"/>
  <c r="L11"/>
  <c r="J11"/>
  <c r="Q6"/>
  <c r="O6"/>
  <c r="M6"/>
  <c r="K6"/>
  <c r="B6"/>
  <c r="P11" i="16"/>
  <c r="N11"/>
  <c r="L11"/>
  <c r="J11"/>
  <c r="Q6"/>
  <c r="O6"/>
  <c r="M6"/>
  <c r="K6"/>
  <c r="B6"/>
  <c r="Q11" i="13"/>
  <c r="O11"/>
  <c r="M11"/>
  <c r="K11"/>
  <c r="P6"/>
  <c r="N6"/>
  <c r="L6"/>
  <c r="J6"/>
  <c r="J22" i="11"/>
  <c r="Q11" i="16"/>
  <c r="O11"/>
  <c r="M11"/>
  <c r="K11"/>
  <c r="P6"/>
  <c r="N6"/>
  <c r="L6"/>
  <c r="J6"/>
  <c r="P11" i="13"/>
  <c r="N11"/>
  <c r="L11"/>
  <c r="J11"/>
  <c r="Q6"/>
  <c r="O6"/>
  <c r="M6"/>
  <c r="K6"/>
  <c r="B6"/>
  <c r="L22" i="16"/>
  <c r="J56" i="19"/>
  <c r="J22"/>
  <c r="J79" i="16"/>
  <c r="J20" i="19"/>
  <c r="K20" i="16"/>
  <c r="J18" i="19"/>
  <c r="K18" i="16"/>
  <c r="J30"/>
  <c r="K21"/>
  <c r="K19"/>
  <c r="J19" i="11"/>
  <c r="J23" s="1"/>
  <c r="Q10" i="19" s="1"/>
  <c r="Q13" l="1"/>
  <c r="Q7"/>
  <c r="K21"/>
  <c r="K67" i="16"/>
  <c r="L21"/>
  <c r="K19" i="19"/>
  <c r="K47" i="16"/>
  <c r="L19"/>
  <c r="J30" i="19"/>
  <c r="J10" i="13"/>
  <c r="L10"/>
  <c r="P10"/>
  <c r="M10" i="16"/>
  <c r="Q10"/>
  <c r="M10" i="13"/>
  <c r="Q10"/>
  <c r="L10" i="16"/>
  <c r="P10"/>
  <c r="L10" i="19"/>
  <c r="P10"/>
  <c r="M10"/>
  <c r="Q9" i="16"/>
  <c r="J25" i="11"/>
  <c r="L9" i="13"/>
  <c r="P9"/>
  <c r="M9" i="16"/>
  <c r="N8" s="1"/>
  <c r="O9" i="19"/>
  <c r="P8" s="1"/>
  <c r="K9"/>
  <c r="L8" s="1"/>
  <c r="N9"/>
  <c r="O8" s="1"/>
  <c r="K9" i="13"/>
  <c r="O9"/>
  <c r="P9" i="16"/>
  <c r="Q8" s="1"/>
  <c r="J53" i="11"/>
  <c r="N9" i="13"/>
  <c r="K9" i="16"/>
  <c r="L8" s="1"/>
  <c r="O9"/>
  <c r="P8" s="1"/>
  <c r="Q9" i="19"/>
  <c r="M9"/>
  <c r="N8" s="1"/>
  <c r="P9"/>
  <c r="Q8" s="1"/>
  <c r="L9"/>
  <c r="M8" s="1"/>
  <c r="J24" i="11"/>
  <c r="M9" i="13"/>
  <c r="Q9"/>
  <c r="N9" i="16"/>
  <c r="O8" s="1"/>
  <c r="L9"/>
  <c r="M8" s="1"/>
  <c r="K18" i="19"/>
  <c r="K30" i="16"/>
  <c r="L18"/>
  <c r="K20" i="19"/>
  <c r="L20" i="16"/>
  <c r="J57" i="19"/>
  <c r="J81" i="16"/>
  <c r="J59" i="19" s="1"/>
  <c r="L22"/>
  <c r="L79" i="16"/>
  <c r="M22"/>
  <c r="J38" i="19"/>
  <c r="J49"/>
  <c r="J69" i="16"/>
  <c r="J51" i="19" s="1"/>
  <c r="K81" i="16"/>
  <c r="K59" i="19" s="1"/>
  <c r="K57"/>
  <c r="N10" i="13"/>
  <c r="K10" i="16"/>
  <c r="O10"/>
  <c r="K10" i="13"/>
  <c r="O10"/>
  <c r="J10" i="16"/>
  <c r="N10"/>
  <c r="J10" i="19"/>
  <c r="N10"/>
  <c r="K10"/>
  <c r="O10"/>
  <c r="J82" i="16" l="1"/>
  <c r="O13" i="19"/>
  <c r="O7"/>
  <c r="N13"/>
  <c r="N7"/>
  <c r="N13" i="16"/>
  <c r="N7"/>
  <c r="O13" i="13"/>
  <c r="O7"/>
  <c r="O13" i="16"/>
  <c r="O7"/>
  <c r="N13" i="13"/>
  <c r="N7"/>
  <c r="L57" i="19"/>
  <c r="L81" i="16"/>
  <c r="L59" i="19" s="1"/>
  <c r="L20"/>
  <c r="M20" i="16"/>
  <c r="L18" i="19"/>
  <c r="M18" i="16"/>
  <c r="L30"/>
  <c r="N8" i="13"/>
  <c r="O8"/>
  <c r="N34"/>
  <c r="L8"/>
  <c r="M8"/>
  <c r="M34" s="1"/>
  <c r="L34"/>
  <c r="P13" i="19"/>
  <c r="P7"/>
  <c r="P13" i="16"/>
  <c r="P7"/>
  <c r="Q13" i="13"/>
  <c r="Q7"/>
  <c r="Q13" i="16"/>
  <c r="Q7"/>
  <c r="P13" i="13"/>
  <c r="P7"/>
  <c r="J13"/>
  <c r="J7"/>
  <c r="L19" i="19"/>
  <c r="L47" i="16"/>
  <c r="M19"/>
  <c r="K49" i="19"/>
  <c r="K69" i="16"/>
  <c r="K51" i="19" s="1"/>
  <c r="J70" i="16"/>
  <c r="K13" i="19"/>
  <c r="K7"/>
  <c r="J13"/>
  <c r="J7"/>
  <c r="J13" i="16"/>
  <c r="J7"/>
  <c r="K13" i="13"/>
  <c r="K7"/>
  <c r="K13" i="16"/>
  <c r="K7"/>
  <c r="J60" i="19"/>
  <c r="J84" i="16"/>
  <c r="K78"/>
  <c r="M22" i="19"/>
  <c r="M79" i="16"/>
  <c r="N22"/>
  <c r="K30" i="19"/>
  <c r="J46" i="11"/>
  <c r="J55"/>
  <c r="J54" s="1"/>
  <c r="J56" s="1"/>
  <c r="O34" i="13"/>
  <c r="P8"/>
  <c r="Q8"/>
  <c r="P34"/>
  <c r="J9" i="19"/>
  <c r="K8" s="1"/>
  <c r="J9" i="16"/>
  <c r="J9" i="13"/>
  <c r="B7"/>
  <c r="B7" i="16"/>
  <c r="B7" i="19"/>
  <c r="M13"/>
  <c r="M7"/>
  <c r="L13"/>
  <c r="L7"/>
  <c r="L13" i="16"/>
  <c r="L7"/>
  <c r="M13" i="13"/>
  <c r="M7"/>
  <c r="M13" i="16"/>
  <c r="M7"/>
  <c r="L13" i="13"/>
  <c r="L7"/>
  <c r="K38" i="19"/>
  <c r="L21"/>
  <c r="L67" i="16"/>
  <c r="M21"/>
  <c r="Q34" i="13"/>
  <c r="J57" i="11" l="1"/>
  <c r="J58"/>
  <c r="K8" i="16"/>
  <c r="J50"/>
  <c r="J33"/>
  <c r="N22" i="19"/>
  <c r="N79" i="16"/>
  <c r="O22"/>
  <c r="J85"/>
  <c r="J86" s="1"/>
  <c r="J72"/>
  <c r="J52" i="19"/>
  <c r="K66" i="16"/>
  <c r="L38" i="19"/>
  <c r="L50" i="16"/>
  <c r="L30" i="19"/>
  <c r="L33" i="16"/>
  <c r="M21" i="19"/>
  <c r="M67" i="16"/>
  <c r="N21"/>
  <c r="L49" i="19"/>
  <c r="L69" i="16"/>
  <c r="L51" i="19" s="1"/>
  <c r="K8" i="13"/>
  <c r="K34" s="1"/>
  <c r="J34"/>
  <c r="J47" i="11"/>
  <c r="J48" s="1"/>
  <c r="M81" i="16"/>
  <c r="M59" i="19" s="1"/>
  <c r="M57"/>
  <c r="K56"/>
  <c r="K82" i="16"/>
  <c r="M19" i="19"/>
  <c r="M47" i="16"/>
  <c r="N19"/>
  <c r="M18" i="19"/>
  <c r="M30" i="16"/>
  <c r="N18"/>
  <c r="M20" i="19"/>
  <c r="N20" i="16"/>
  <c r="I34" i="13" l="1"/>
  <c r="K20" i="21" s="1"/>
  <c r="M20" s="1"/>
  <c r="M30" i="19"/>
  <c r="M33" i="16"/>
  <c r="N19" i="19"/>
  <c r="N47" i="16"/>
  <c r="O19"/>
  <c r="M49" i="19"/>
  <c r="M69" i="16"/>
  <c r="M51" i="19" s="1"/>
  <c r="L41"/>
  <c r="L58" i="16"/>
  <c r="M46"/>
  <c r="K48" i="19"/>
  <c r="K70" i="16"/>
  <c r="J73"/>
  <c r="J74" s="1"/>
  <c r="N57" i="19"/>
  <c r="N81" i="16"/>
  <c r="N59" i="19" s="1"/>
  <c r="J33"/>
  <c r="J41" i="16"/>
  <c r="J31"/>
  <c r="K29"/>
  <c r="K33"/>
  <c r="K50"/>
  <c r="J49" i="11"/>
  <c r="N20" i="19"/>
  <c r="O20" i="16"/>
  <c r="N18" i="19"/>
  <c r="O18" i="16"/>
  <c r="N30"/>
  <c r="M38" i="19"/>
  <c r="M50" i="16"/>
  <c r="K60" i="19"/>
  <c r="K84" i="16"/>
  <c r="L78"/>
  <c r="N21" i="19"/>
  <c r="N67" i="16"/>
  <c r="O21"/>
  <c r="L33" i="19"/>
  <c r="L41" i="16"/>
  <c r="L35"/>
  <c r="M29"/>
  <c r="O22" i="19"/>
  <c r="O79" i="16"/>
  <c r="P22"/>
  <c r="J41" i="19"/>
  <c r="J58" i="16"/>
  <c r="J48"/>
  <c r="K46"/>
  <c r="K37" i="19" l="1"/>
  <c r="P22"/>
  <c r="P79" i="16"/>
  <c r="Q22"/>
  <c r="O21" i="19"/>
  <c r="O67" i="16"/>
  <c r="P21"/>
  <c r="K85"/>
  <c r="K86" s="1"/>
  <c r="O18" i="19"/>
  <c r="O30" i="16"/>
  <c r="P18"/>
  <c r="O20" i="19"/>
  <c r="P20" i="16"/>
  <c r="K33" i="19"/>
  <c r="K41" i="16"/>
  <c r="K35"/>
  <c r="K31"/>
  <c r="L29"/>
  <c r="J31" i="19"/>
  <c r="J40" i="16"/>
  <c r="J32"/>
  <c r="O19" i="19"/>
  <c r="O47" i="16"/>
  <c r="P19"/>
  <c r="M33" i="19"/>
  <c r="M41" i="16"/>
  <c r="M35"/>
  <c r="M31"/>
  <c r="N29"/>
  <c r="J39" i="19"/>
  <c r="J57" i="16"/>
  <c r="J49"/>
  <c r="O81"/>
  <c r="O59" i="19" s="1"/>
  <c r="O57"/>
  <c r="M29"/>
  <c r="N49"/>
  <c r="N69" i="16"/>
  <c r="N51" i="19" s="1"/>
  <c r="L56"/>
  <c r="L82" i="16"/>
  <c r="M58"/>
  <c r="M52"/>
  <c r="M48"/>
  <c r="M41" i="19"/>
  <c r="N46" i="16"/>
  <c r="N30" i="19"/>
  <c r="N33" i="16"/>
  <c r="K58"/>
  <c r="K52"/>
  <c r="K41" i="19"/>
  <c r="K48" i="16"/>
  <c r="L46"/>
  <c r="K29" i="19"/>
  <c r="K52"/>
  <c r="K72" i="16"/>
  <c r="L66"/>
  <c r="M37" i="19"/>
  <c r="N38"/>
  <c r="N50" i="16"/>
  <c r="L52"/>
  <c r="L70" l="1"/>
  <c r="L48" i="19"/>
  <c r="K73" i="16"/>
  <c r="K74" s="1"/>
  <c r="L37" i="19"/>
  <c r="L48" i="16"/>
  <c r="N33" i="19"/>
  <c r="N41" i="16"/>
  <c r="N35"/>
  <c r="N31"/>
  <c r="O29"/>
  <c r="N37" i="19"/>
  <c r="M57" i="16"/>
  <c r="M39" i="19"/>
  <c r="M49" i="16"/>
  <c r="N29" i="19"/>
  <c r="O38"/>
  <c r="O50" i="16"/>
  <c r="J32" i="19"/>
  <c r="J38" i="16"/>
  <c r="K31" i="19"/>
  <c r="K40" i="16"/>
  <c r="K32"/>
  <c r="P20" i="19"/>
  <c r="Q20" i="16"/>
  <c r="Q20" i="19" s="1"/>
  <c r="P18"/>
  <c r="Q18" i="16"/>
  <c r="P30"/>
  <c r="O49" i="19"/>
  <c r="O69" i="16"/>
  <c r="O51" i="19" s="1"/>
  <c r="Q22"/>
  <c r="Q79" i="16"/>
  <c r="N41" i="19"/>
  <c r="N58" i="16"/>
  <c r="N52"/>
  <c r="N48"/>
  <c r="O46"/>
  <c r="K57"/>
  <c r="K39" i="19"/>
  <c r="K49" i="16"/>
  <c r="L60" i="19"/>
  <c r="L84" i="16"/>
  <c r="M78"/>
  <c r="J40" i="19"/>
  <c r="J55" i="16"/>
  <c r="M31" i="19"/>
  <c r="M40" i="16"/>
  <c r="M32"/>
  <c r="P19" i="19"/>
  <c r="P47" i="16"/>
  <c r="Q19"/>
  <c r="L29" i="19"/>
  <c r="L31" i="16"/>
  <c r="O30" i="19"/>
  <c r="O33" i="16"/>
  <c r="P21" i="19"/>
  <c r="P67" i="16"/>
  <c r="Q21"/>
  <c r="P57" i="19"/>
  <c r="P81" i="16"/>
  <c r="P59" i="19" s="1"/>
  <c r="Q21" l="1"/>
  <c r="Q67" i="16"/>
  <c r="O33" i="19"/>
  <c r="O41" i="16"/>
  <c r="O35"/>
  <c r="O31"/>
  <c r="P29"/>
  <c r="M32" i="19"/>
  <c r="M38" i="16"/>
  <c r="L85"/>
  <c r="L86" s="1"/>
  <c r="K40" i="19"/>
  <c r="K55" i="16"/>
  <c r="N39" i="19"/>
  <c r="N57" i="16"/>
  <c r="N49"/>
  <c r="P49" i="19"/>
  <c r="P69" i="16"/>
  <c r="P51" i="19" s="1"/>
  <c r="Q19"/>
  <c r="Q47" i="16"/>
  <c r="J56"/>
  <c r="J59" s="1"/>
  <c r="M56" i="19"/>
  <c r="M82" i="16"/>
  <c r="O37" i="19"/>
  <c r="Q18"/>
  <c r="Q30" i="16"/>
  <c r="K32" i="19"/>
  <c r="K38" i="16"/>
  <c r="O58"/>
  <c r="O52"/>
  <c r="O48"/>
  <c r="O41" i="19"/>
  <c r="P46" i="16"/>
  <c r="M40" i="19"/>
  <c r="M55" i="16"/>
  <c r="N31" i="19"/>
  <c r="N40" i="16"/>
  <c r="N32"/>
  <c r="L39" i="19"/>
  <c r="L57" i="16"/>
  <c r="L49"/>
  <c r="L72"/>
  <c r="L52" i="19"/>
  <c r="M66" i="16"/>
  <c r="L31" i="19"/>
  <c r="L40" i="16"/>
  <c r="L32"/>
  <c r="P38" i="19"/>
  <c r="P50" i="16"/>
  <c r="Q81"/>
  <c r="Q59" i="19" s="1"/>
  <c r="Q57"/>
  <c r="P30"/>
  <c r="P33" i="16"/>
  <c r="J39"/>
  <c r="J42" s="1"/>
  <c r="O29" i="19"/>
  <c r="P41" l="1"/>
  <c r="P58" i="16"/>
  <c r="P52"/>
  <c r="P48"/>
  <c r="Q46"/>
  <c r="P37" i="19"/>
  <c r="O57" i="16"/>
  <c r="O39" i="19"/>
  <c r="O49" i="16"/>
  <c r="P33" i="19"/>
  <c r="P41" i="16"/>
  <c r="P35"/>
  <c r="P31"/>
  <c r="Q29"/>
  <c r="M48" i="19"/>
  <c r="M70" i="16"/>
  <c r="L73"/>
  <c r="L74" s="1"/>
  <c r="N32" i="19"/>
  <c r="N38" i="16"/>
  <c r="K39"/>
  <c r="K42" s="1"/>
  <c r="Q30" i="19"/>
  <c r="Q33" i="16"/>
  <c r="M60" i="19"/>
  <c r="M84" i="16"/>
  <c r="N78"/>
  <c r="Q38" i="19"/>
  <c r="Q50" i="16"/>
  <c r="N40" i="19"/>
  <c r="N55" i="16"/>
  <c r="O31" i="19"/>
  <c r="O40" i="16"/>
  <c r="O32"/>
  <c r="Q49" i="19"/>
  <c r="Q69" i="16"/>
  <c r="Q51" i="19" s="1"/>
  <c r="L32"/>
  <c r="L38" i="16"/>
  <c r="L40" i="19"/>
  <c r="L55" i="16"/>
  <c r="M56"/>
  <c r="M59" s="1"/>
  <c r="K56"/>
  <c r="K59" s="1"/>
  <c r="M39"/>
  <c r="M42" s="1"/>
  <c r="P29" i="19"/>
  <c r="M85" i="16" l="1"/>
  <c r="M86" s="1"/>
  <c r="P31" i="19"/>
  <c r="P40" i="16"/>
  <c r="P32"/>
  <c r="P39" i="19"/>
  <c r="P57" i="16"/>
  <c r="P49"/>
  <c r="L56"/>
  <c r="L59" s="1"/>
  <c r="L39"/>
  <c r="L42" s="1"/>
  <c r="O32" i="19"/>
  <c r="O38" i="16"/>
  <c r="Q58"/>
  <c r="Q52"/>
  <c r="Q48"/>
  <c r="Q41" i="19"/>
  <c r="N56"/>
  <c r="N82" i="16"/>
  <c r="Q33" i="19"/>
  <c r="Q41" i="16"/>
  <c r="Q35"/>
  <c r="Q31"/>
  <c r="N39"/>
  <c r="N42" s="1"/>
  <c r="M52" i="19"/>
  <c r="M72" i="16"/>
  <c r="N66"/>
  <c r="Q29" i="19"/>
  <c r="Q37"/>
  <c r="N56" i="16"/>
  <c r="N59" s="1"/>
  <c r="O40" i="19"/>
  <c r="O55" i="16"/>
  <c r="M73" l="1"/>
  <c r="M74" s="1"/>
  <c r="Q31" i="19"/>
  <c r="Q40" i="16"/>
  <c r="Q32"/>
  <c r="N60" i="19"/>
  <c r="N84" i="16"/>
  <c r="O78"/>
  <c r="O39"/>
  <c r="O42" s="1"/>
  <c r="P40" i="19"/>
  <c r="P55" i="16"/>
  <c r="O56"/>
  <c r="O59" s="1"/>
  <c r="N70"/>
  <c r="N48" i="19"/>
  <c r="Q57" i="16"/>
  <c r="Q39" i="19"/>
  <c r="Q49" i="16"/>
  <c r="P32" i="19"/>
  <c r="P38" i="16"/>
  <c r="P39" l="1"/>
  <c r="P42" s="1"/>
  <c r="Q40" i="19"/>
  <c r="Q55" i="16"/>
  <c r="N72"/>
  <c r="N52" i="19"/>
  <c r="O66" i="16"/>
  <c r="N85"/>
  <c r="N86" s="1"/>
  <c r="Q32" i="19"/>
  <c r="Q38" i="16"/>
  <c r="P56"/>
  <c r="P59" s="1"/>
  <c r="O56" i="19"/>
  <c r="O82" i="16"/>
  <c r="O60" i="19" l="1"/>
  <c r="O84" i="16"/>
  <c r="P78"/>
  <c r="Q39"/>
  <c r="Q42" s="1"/>
  <c r="I42" s="1"/>
  <c r="K21" i="21" s="1"/>
  <c r="M21" s="1"/>
  <c r="O48" i="19"/>
  <c r="O70" i="16"/>
  <c r="N73"/>
  <c r="N74" s="1"/>
  <c r="Q56"/>
  <c r="Q59" s="1"/>
  <c r="I59" s="1"/>
  <c r="K22" i="21" s="1"/>
  <c r="M22" s="1"/>
  <c r="O52" i="19" l="1"/>
  <c r="O72" i="16"/>
  <c r="P66"/>
  <c r="P56" i="19"/>
  <c r="P82" i="16"/>
  <c r="O85"/>
  <c r="O86" s="1"/>
  <c r="P60" i="19" l="1"/>
  <c r="P84" i="16"/>
  <c r="Q78"/>
  <c r="P70"/>
  <c r="P48" i="19"/>
  <c r="O73" i="16"/>
  <c r="O74" s="1"/>
  <c r="Q56" i="19" l="1"/>
  <c r="Q82" i="16"/>
  <c r="P72"/>
  <c r="P52" i="19"/>
  <c r="Q66" i="16"/>
  <c r="P85"/>
  <c r="P86" s="1"/>
  <c r="Q48" i="19" l="1"/>
  <c r="Q70" i="16"/>
  <c r="P73"/>
  <c r="P74" s="1"/>
  <c r="Q60" i="19"/>
  <c r="Q84" i="16"/>
  <c r="Q85" l="1"/>
  <c r="Q86" s="1"/>
  <c r="I86" s="1"/>
  <c r="K24" i="21" s="1"/>
  <c r="M24" s="1"/>
  <c r="Q52" i="19"/>
  <c r="Q72" i="16"/>
  <c r="Q73" l="1"/>
  <c r="Q74" s="1"/>
  <c r="I74" s="1"/>
  <c r="K23" i="21" s="1"/>
  <c r="M23" s="1"/>
  <c r="M26" s="1"/>
  <c r="I13" l="1"/>
  <c r="I14"/>
  <c r="C10" i="4" s="1"/>
  <c r="C11" i="22" l="1"/>
  <c r="B2" i="21"/>
  <c r="B2" i="19"/>
  <c r="C11" i="17"/>
  <c r="B2" i="23"/>
  <c r="C11" i="20"/>
  <c r="C11" i="18"/>
  <c r="C11" i="15"/>
  <c r="B2" i="13"/>
  <c r="C11" i="9"/>
  <c r="B2" i="16"/>
  <c r="C11" i="14"/>
  <c r="C11" i="12"/>
  <c r="C11" i="10"/>
  <c r="B2" i="8"/>
  <c r="C11" i="6"/>
  <c r="B2" i="5"/>
  <c r="B2" i="11"/>
  <c r="C11" i="7"/>
</calcChain>
</file>

<file path=xl/comments1.xml><?xml version="1.0" encoding="utf-8"?>
<comments xmlns="http://schemas.openxmlformats.org/spreadsheetml/2006/main">
  <authors>
    <author>Best Practice Modelling</author>
  </authors>
  <commentList>
    <comment ref="C23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Notes indicating linked workbooks on cover sheet.</t>
        </r>
      </text>
    </comment>
  </commentList>
</comments>
</file>

<file path=xl/comments2.xml><?xml version="1.0" encoding="utf-8"?>
<comments xmlns="http://schemas.openxmlformats.org/spreadsheetml/2006/main">
  <authors>
    <author>Best Practice Modelling</author>
  </authors>
  <commentList>
    <comment ref="D2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Model export section (BPMC 13-4).</t>
        </r>
      </text>
    </comment>
  </commentList>
</comments>
</file>

<file path=xl/comments3.xml><?xml version="1.0" encoding="utf-8"?>
<comments xmlns="http://schemas.openxmlformats.org/spreadsheetml/2006/main">
  <authors>
    <author>Best Practice Modelling</author>
  </authors>
  <commentList>
    <comment ref="V7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Linked workbooks diagram used to clearly specify links between workbooks (BPMC 13-5).</t>
        </r>
      </text>
    </comment>
  </commentList>
</comments>
</file>

<file path=xl/comments4.xml><?xml version="1.0" encoding="utf-8"?>
<comments xmlns="http://schemas.openxmlformats.org/spreadsheetml/2006/main">
  <authors>
    <author>Michael Hutchens</author>
  </authors>
  <commentList>
    <comment ref="E46" authorId="0">
      <text>
        <r>
          <rPr>
            <sz val="9"/>
            <color indexed="81"/>
            <rFont val="Tahoma"/>
            <family val="2"/>
          </rPr>
          <t>Data time series sheets will end at this date.</t>
        </r>
      </text>
    </comment>
    <comment ref="E47" authorId="0">
      <text>
        <r>
          <rPr>
            <sz val="9"/>
            <color indexed="81"/>
            <rFont val="Tahoma"/>
            <family val="2"/>
          </rPr>
          <t>Total number of active columns on data time series sheets.</t>
        </r>
      </text>
    </comment>
    <comment ref="E48" authorId="0">
      <text>
        <r>
          <rPr>
            <sz val="9"/>
            <color indexed="81"/>
            <rFont val="Tahoma"/>
            <family val="2"/>
          </rPr>
          <t>Period number of last full period on data time series sheets. First period is always treated as a full period if more than one total period.</t>
        </r>
      </text>
    </comment>
    <comment ref="E49" authorId="0">
      <text>
        <r>
          <rPr>
            <sz val="9"/>
            <color indexed="81"/>
            <rFont val="Tahoma"/>
            <family val="2"/>
          </rPr>
          <t>Indicates whether or not the final active period of data time series sheets is a partial period.</t>
        </r>
      </text>
    </comment>
  </commentList>
</comments>
</file>

<file path=xl/comments5.xml><?xml version="1.0" encoding="utf-8"?>
<comments xmlns="http://schemas.openxmlformats.org/spreadsheetml/2006/main">
  <authors>
    <author>Michael Hutchens</author>
  </authors>
  <commentList>
    <comment ref="I34" authorId="0">
      <text>
        <r>
          <rPr>
            <b/>
            <sz val="9"/>
            <color indexed="81"/>
            <rFont val="Tahoma"/>
            <family val="2"/>
          </rPr>
          <t xml:space="preserve">Debtors/Creditors Days
</t>
        </r>
        <r>
          <rPr>
            <sz val="9"/>
            <color indexed="81"/>
            <rFont val="Tahoma"/>
            <family val="2"/>
          </rPr>
          <t>Error if debtors days or creditors days assumptions exceed the number of days in the period.</t>
        </r>
      </text>
    </comment>
  </commentList>
</comments>
</file>

<file path=xl/comments6.xml><?xml version="1.0" encoding="utf-8"?>
<comments xmlns="http://schemas.openxmlformats.org/spreadsheetml/2006/main">
  <authors>
    <author>Best Practice Modelling</author>
  </authors>
  <commentList>
    <comment ref="I42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59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74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  <comment ref="I86" authorId="0">
      <text>
        <r>
          <rPr>
            <b/>
            <sz val="9"/>
            <color indexed="81"/>
            <rFont val="Tahoma"/>
            <family val="2"/>
          </rPr>
          <t xml:space="preserve">Error Check
</t>
        </r>
        <r>
          <rPr>
            <sz val="9"/>
            <color indexed="81"/>
            <rFont val="Tahoma"/>
            <family val="2"/>
          </rPr>
          <t>Flags the existence of errors.</t>
        </r>
      </text>
    </comment>
  </commentList>
</comments>
</file>

<file path=xl/comments7.xml><?xml version="1.0" encoding="utf-8"?>
<comments xmlns="http://schemas.openxmlformats.org/spreadsheetml/2006/main">
  <authors>
    <author>Best Practice Modelling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Model exports section used to contain all model exports (BPMC 13-4).</t>
        </r>
      </text>
    </comment>
  </commentList>
</comments>
</file>

<file path=xl/comments8.xml><?xml version="1.0" encoding="utf-8"?>
<comments xmlns="http://schemas.openxmlformats.org/spreadsheetml/2006/main">
  <authors>
    <author>Best Practice Modelling</author>
  </authors>
  <commentList>
    <comment ref="B16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External workbook exports located on a dedicated, workbook-specific model export sheet (BPMS 13-1, BPMC 13-1).</t>
        </r>
      </text>
    </comment>
    <comment ref="J18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External workbook exports linked directly to linked workbook imports
(BPMS 13-3, BPMC 13-3).</t>
        </r>
      </text>
    </comment>
    <comment ref="J29" authorId="0">
      <text>
        <r>
          <rPr>
            <b/>
            <sz val="9"/>
            <color indexed="81"/>
            <rFont val="Tahoma"/>
            <family val="2"/>
          </rPr>
          <t>Best Practice Modelling:</t>
        </r>
        <r>
          <rPr>
            <sz val="9"/>
            <color indexed="81"/>
            <rFont val="Tahoma"/>
            <family val="2"/>
          </rPr>
          <t xml:space="preserve">
Model import and export sheet consistency (BPMC 13-2).</t>
        </r>
      </text>
    </comment>
  </commentList>
</comments>
</file>

<file path=xl/sharedStrings.xml><?xml version="1.0" encoding="utf-8"?>
<sst xmlns="http://schemas.openxmlformats.org/spreadsheetml/2006/main" count="448" uniqueCount="247">
  <si>
    <t>Best Practice Modelling</t>
  </si>
  <si>
    <t>Go to Table of Contents</t>
  </si>
  <si>
    <t>Primary Developer:  BPM</t>
  </si>
  <si>
    <t>Cover Notes</t>
  </si>
  <si>
    <t>-</t>
  </si>
  <si>
    <t>This example model has been set up to demonstrate the best practice linking of multiple workbooks.</t>
  </si>
  <si>
    <t>This workbook exports data to the workbook 'BPM-SMA 13-Best Practice Model Example 1'.</t>
  </si>
  <si>
    <r>
      <t xml:space="preserve">Use of this model is subject to the </t>
    </r>
    <r>
      <rPr>
        <u/>
        <sz val="8"/>
        <color indexed="60"/>
        <rFont val="Tahoma"/>
        <family val="2"/>
      </rPr>
      <t>training model terms and conditions</t>
    </r>
    <r>
      <rPr>
        <sz val="8"/>
        <color indexed="60"/>
        <rFont val="Tahoma"/>
        <family val="2"/>
        <scheme val="major"/>
      </rPr>
      <t xml:space="preserve"> on the Best Practice Modelling website.</t>
    </r>
  </si>
  <si>
    <t>Table of Contents</t>
  </si>
  <si>
    <t>Go to Cover Sheet</t>
  </si>
  <si>
    <t>é</t>
  </si>
  <si>
    <t>Section &amp; Sheet Titles</t>
  </si>
  <si>
    <t xml:space="preserve">  Page  </t>
  </si>
  <si>
    <t>1.1.</t>
  </si>
  <si>
    <t>a.</t>
  </si>
  <si>
    <t>2.1.</t>
  </si>
  <si>
    <t>2.2.</t>
  </si>
  <si>
    <t>3.1.</t>
  </si>
  <si>
    <t>4.1.</t>
  </si>
  <si>
    <t>4.2.</t>
  </si>
  <si>
    <t>4.3.</t>
  </si>
  <si>
    <t>Total Pages:</t>
  </si>
  <si>
    <t>Overview</t>
  </si>
  <si>
    <t>Section 1.</t>
  </si>
  <si>
    <t>ç</t>
  </si>
  <si>
    <t>è</t>
  </si>
  <si>
    <t>Section Cover Notes</t>
  </si>
  <si>
    <t>Contains notes explaining the purpose and use of this model and where more help can be obtained.</t>
  </si>
  <si>
    <t>Contains diagrams summarising designated components of the model.</t>
  </si>
  <si>
    <t>Also contains keys explaining the Formats &amp; Styles, Sheet Naming &amp; Range Naming principles used in this model.</t>
  </si>
  <si>
    <t>Notes</t>
  </si>
  <si>
    <t>Sub-Section 1.1.</t>
  </si>
  <si>
    <t>Sub-Section Cover Notes</t>
  </si>
  <si>
    <t>Contains general notes about the purpose and use of this model.</t>
  </si>
  <si>
    <t>Also contains contact details for BPM.</t>
  </si>
  <si>
    <t>Linked Workbooks Diagram</t>
  </si>
  <si>
    <t>x</t>
  </si>
  <si>
    <t>h</t>
  </si>
  <si>
    <t>O</t>
  </si>
  <si>
    <t>BPM-SMA 13-Best Practice Model Example 1</t>
  </si>
  <si>
    <t>Description</t>
  </si>
  <si>
    <t>●</t>
  </si>
  <si>
    <t>Financial model.</t>
  </si>
  <si>
    <t>Details</t>
  </si>
  <si>
    <t>Contains capital structure, taxation and other financial financial statement items assumptions.</t>
  </si>
  <si>
    <t>Operational</t>
  </si>
  <si>
    <t>Working Capital</t>
  </si>
  <si>
    <t>Assets</t>
  </si>
  <si>
    <t>BPM-SMA 13-Best Practice Model Example 2</t>
  </si>
  <si>
    <t>Operational model.</t>
  </si>
  <si>
    <t>Contains operational, working capital and assets assumptions.</t>
  </si>
  <si>
    <t>Assumptions</t>
  </si>
  <si>
    <t>Section 2.</t>
  </si>
  <si>
    <t>Contains base case assumptions used to generate the base case outputs.</t>
  </si>
  <si>
    <t>Time Series Assumptions</t>
  </si>
  <si>
    <t>Sub-Section 2.1.</t>
  </si>
  <si>
    <t>Sub-Section Cover Notes:</t>
  </si>
  <si>
    <t>Contains assumptions used to drive the time series analysis within the model.</t>
  </si>
  <si>
    <t>Core Time Series Assumptions</t>
  </si>
  <si>
    <t>Title</t>
  </si>
  <si>
    <t>Primary</t>
  </si>
  <si>
    <t>Periodicity</t>
  </si>
  <si>
    <t>Financial Year End</t>
  </si>
  <si>
    <t>Start Date</t>
  </si>
  <si>
    <t>Periods</t>
  </si>
  <si>
    <t>Period Type</t>
  </si>
  <si>
    <t>Period Type Prefix</t>
  </si>
  <si>
    <t>Financial Year End Is Month End?</t>
  </si>
  <si>
    <t>First Period Financial Year Start Date</t>
  </si>
  <si>
    <t>First Period Financial Year End Date</t>
  </si>
  <si>
    <t>Periods In Year</t>
  </si>
  <si>
    <t>Months In Period</t>
  </si>
  <si>
    <t>First Period Financial Period Number</t>
  </si>
  <si>
    <t>First Period Start Date (If Full Period)</t>
  </si>
  <si>
    <t>First Period End Date</t>
  </si>
  <si>
    <t>Denomination</t>
  </si>
  <si>
    <t>Denomination Label</t>
  </si>
  <si>
    <t>Historical &amp; Forecast Period Titles</t>
  </si>
  <si>
    <t>Include in Period Titles?</t>
  </si>
  <si>
    <t>Actual Periods</t>
  </si>
  <si>
    <t>Budget Periods</t>
  </si>
  <si>
    <t>Historical / Actual Periods Title</t>
  </si>
  <si>
    <t>(A)</t>
  </si>
  <si>
    <t>Budget Periods Title</t>
  </si>
  <si>
    <t>(B)</t>
  </si>
  <si>
    <t>Forecast Period Title</t>
  </si>
  <si>
    <t>(F)</t>
  </si>
  <si>
    <t>Data &amp; Projections - Timing Assumptions</t>
  </si>
  <si>
    <t>Data Term Basis</t>
  </si>
  <si>
    <t>Data - Active Periods</t>
  </si>
  <si>
    <t>Projections - Start Date</t>
  </si>
  <si>
    <t>Data Time Series Sheets</t>
  </si>
  <si>
    <t>Data End Date</t>
  </si>
  <si>
    <t>Total Data Periods</t>
  </si>
  <si>
    <t>Full Data Periods</t>
  </si>
  <si>
    <t>Final Data Period Is Stub</t>
  </si>
  <si>
    <t>Projections Time Series Sheets</t>
  </si>
  <si>
    <t>Projections Start Date</t>
  </si>
  <si>
    <t>A Financial Year End assumption of 28th of February is assumed to be a month end financial year end, even in a leap year.</t>
  </si>
  <si>
    <t>The "Model Denomination" assumption will not necessarily automatically change the denomination of the outputs of this model.</t>
  </si>
  <si>
    <t>A "Budget Period" refers to either a period in the current financial year or periods containing combined actual and forecast data.</t>
  </si>
  <si>
    <t>"Data &amp; Projections - Timing Assumptions" are used as the basis for related data and projections time series sheets.</t>
  </si>
  <si>
    <t>Use the bpmToolbox "Update Time Series Columns" tool to hide inactive data and projections time series periods.</t>
  </si>
  <si>
    <t>Forecast Assumptions</t>
  </si>
  <si>
    <t>Sub-Section 2.2.</t>
  </si>
  <si>
    <t>Contains forecast assumptions for all areas within the underlying business.</t>
  </si>
  <si>
    <t>Period Start Date (From Start of Day...)</t>
  </si>
  <si>
    <t>Period End Date (Until End of Day...)</t>
  </si>
  <si>
    <t>Financial Year</t>
  </si>
  <si>
    <t>Financial Year Period</t>
  </si>
  <si>
    <t>Counter</t>
  </si>
  <si>
    <t>Period Key</t>
  </si>
  <si>
    <t>Operational - Assumptions</t>
  </si>
  <si>
    <t xml:space="preserve">Base Amount </t>
  </si>
  <si>
    <t xml:space="preserve"> Periodic Growth Rate (%)</t>
  </si>
  <si>
    <t>Revenue</t>
  </si>
  <si>
    <t>Cost of Goods Sold</t>
  </si>
  <si>
    <t>Operating Expenditure</t>
  </si>
  <si>
    <t>Capital Expenditure - Assets</t>
  </si>
  <si>
    <t>Capital Expenditure - Intangibles</t>
  </si>
  <si>
    <t>Revenue and expense assumptions are entered as positive numbers.</t>
  </si>
  <si>
    <t>Working Capital - Assumptions</t>
  </si>
  <si>
    <t xml:space="preserve">Opening Balance </t>
  </si>
  <si>
    <t xml:space="preserve"> Debtors/Creditors Days</t>
  </si>
  <si>
    <t>Accounts Receivable</t>
  </si>
  <si>
    <t>Accounts Payable</t>
  </si>
  <si>
    <t>Error Check (Invalid Days Assumption)</t>
  </si>
  <si>
    <t>Debtors/creditors days assumptions cannot be greater than the number of days in that period.</t>
  </si>
  <si>
    <t>Assets - Assumptions</t>
  </si>
  <si>
    <t xml:space="preserve"> Depreciation/Amortization - % of Capital Expenditure</t>
  </si>
  <si>
    <t>Intangible Assets</t>
  </si>
  <si>
    <t>Outputs</t>
  </si>
  <si>
    <t>Section 3.</t>
  </si>
  <si>
    <t>Contains base case outputs - i.e. includes only the impacts of base case assumptions.</t>
  </si>
  <si>
    <t>Forecast Outputs</t>
  </si>
  <si>
    <t>Sub-Section 3.1.</t>
  </si>
  <si>
    <t>Contains forecast outputs for all areas within the underlying business other than financial statements.</t>
  </si>
  <si>
    <t>Operational - Outputs</t>
  </si>
  <si>
    <t>Working Capital - Outputs</t>
  </si>
  <si>
    <t>Opening Balance</t>
  </si>
  <si>
    <t>Cash Receipts</t>
  </si>
  <si>
    <t>Movement in Accounts Receivable</t>
  </si>
  <si>
    <t>Closing Balance</t>
  </si>
  <si>
    <t>Debtors Days</t>
  </si>
  <si>
    <t>Error Values Detected</t>
  </si>
  <si>
    <t>Error in Balancing of Components</t>
  </si>
  <si>
    <t>Positive Cash Receipts Error</t>
  </si>
  <si>
    <t>Negative Closing Balance Error</t>
  </si>
  <si>
    <t>Total Error Checks Result</t>
  </si>
  <si>
    <t>Costs</t>
  </si>
  <si>
    <t>Cash Payments</t>
  </si>
  <si>
    <t>Movement in Accounts Payable</t>
  </si>
  <si>
    <t>Creditors Days</t>
  </si>
  <si>
    <t>Positive Cash Payments Error</t>
  </si>
  <si>
    <t>Assets - Outputs</t>
  </si>
  <si>
    <t>Depreciation - % of Capital Expenditure</t>
  </si>
  <si>
    <t>Depreciation</t>
  </si>
  <si>
    <t>Amortization - % of Capital Expenditure</t>
  </si>
  <si>
    <t>Amortization</t>
  </si>
  <si>
    <t>Appendices</t>
  </si>
  <si>
    <t>Section 4.</t>
  </si>
  <si>
    <t>Contains checks and lookup tables.</t>
  </si>
  <si>
    <t>Model Exports</t>
  </si>
  <si>
    <t>Sub-Section 4.1.</t>
  </si>
  <si>
    <t>Contains data exported to external workbooks.</t>
  </si>
  <si>
    <t>Model Exports (To BPM-SMA 13-Best Practice Model Example 1)</t>
  </si>
  <si>
    <t>Checks</t>
  </si>
  <si>
    <t>Sub-Section 4.2.</t>
  </si>
  <si>
    <t>Contains error, sensitivity and alert checks.</t>
  </si>
  <si>
    <t>Error Checks</t>
  </si>
  <si>
    <t>Errors Detected - Summary</t>
  </si>
  <si>
    <t>Error Message (Empty if None):</t>
  </si>
  <si>
    <t>Check</t>
  </si>
  <si>
    <t>Include?</t>
  </si>
  <si>
    <t>Flag</t>
  </si>
  <si>
    <t>Yes</t>
  </si>
  <si>
    <t>Total Errors:</t>
  </si>
  <si>
    <t>Sensitivity Checks</t>
  </si>
  <si>
    <t>Sensitivities Detected - Summary</t>
  </si>
  <si>
    <t>Sensitivity Message (Empty if None):</t>
  </si>
  <si>
    <t>Total Sensitivities:</t>
  </si>
  <si>
    <t>Alert Checks</t>
  </si>
  <si>
    <t>Alerts Detected - Summary</t>
  </si>
  <si>
    <t>Alert Message (Empty if None):</t>
  </si>
  <si>
    <t>Total Alerts:</t>
  </si>
  <si>
    <t>Lookup Tables</t>
  </si>
  <si>
    <t>Sub-Section 4.3.</t>
  </si>
  <si>
    <t>Contains model lookup tables.</t>
  </si>
  <si>
    <t>Time Series Lookup Tables</t>
  </si>
  <si>
    <t>Month Days</t>
  </si>
  <si>
    <t>Names</t>
  </si>
  <si>
    <t>LU_Mth_Days</t>
  </si>
  <si>
    <t>Month Names</t>
  </si>
  <si>
    <t>LU_Mth_Names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</si>
  <si>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</si>
  <si>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</si>
  <si>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</si>
  <si>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</si>
  <si>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</si>
  <si>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</si>
  <si>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</si>
  <si>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</si>
  <si>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</si>
  <si>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</si>
  <si>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</si>
  <si>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</si>
  <si>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LU_Denom</t>
  </si>
  <si>
    <t>$Billions</t>
  </si>
  <si>
    <t>Billions</t>
  </si>
  <si>
    <t>$Millions</t>
  </si>
  <si>
    <t>Millions</t>
  </si>
  <si>
    <t>$'000</t>
  </si>
  <si>
    <t>Thousands</t>
  </si>
  <si>
    <t>$</t>
  </si>
  <si>
    <t>Currency</t>
  </si>
  <si>
    <t>LU_Data_Term_Basis</t>
  </si>
  <si>
    <t>Active Data Periods</t>
  </si>
  <si>
    <t>Projections Start</t>
  </si>
  <si>
    <t>LU_Periodicity</t>
  </si>
  <si>
    <t>Annual</t>
  </si>
  <si>
    <t>Semi-Annual</t>
  </si>
  <si>
    <t>Semi_Annual</t>
  </si>
  <si>
    <t>Quarterly</t>
  </si>
  <si>
    <t>Qtrly</t>
  </si>
  <si>
    <t>Monthly</t>
  </si>
  <si>
    <t>Mthly</t>
  </si>
  <si>
    <t>Period Type Names</t>
  </si>
  <si>
    <t>LU_Period_Type_Names</t>
  </si>
  <si>
    <t>Year</t>
  </si>
  <si>
    <t>Yr_Name</t>
  </si>
  <si>
    <t>Half Year</t>
  </si>
  <si>
    <t>Half_Yr_Name</t>
  </si>
  <si>
    <t>Quarter</t>
  </si>
  <si>
    <t>Qtr_Name</t>
  </si>
  <si>
    <t>Month</t>
  </si>
  <si>
    <t>Mth_Name</t>
  </si>
  <si>
    <t>LU_Pers_In_Yr</t>
  </si>
  <si>
    <t>Yrs_In_Yr</t>
  </si>
  <si>
    <t>Halves_In_Yr</t>
  </si>
  <si>
    <t>Qtrs_In_Yr</t>
  </si>
  <si>
    <t>Mths_In_Yr</t>
  </si>
  <si>
    <t>Conversion Factors</t>
  </si>
  <si>
    <t>Ten</t>
  </si>
  <si>
    <t>Hundred</t>
  </si>
  <si>
    <t>Thousand</t>
  </si>
  <si>
    <t>Million</t>
  </si>
  <si>
    <t>Billion</t>
  </si>
</sst>
</file>

<file path=xl/styles.xml><?xml version="1.0" encoding="utf-8"?>
<styleSheet xmlns="http://schemas.openxmlformats.org/spreadsheetml/2006/main">
  <numFmts count="11">
    <numFmt numFmtId="164" formatCode="_(###0_);\(###0\);_(&quot;-&quot;_)"/>
    <numFmt numFmtId="165" formatCode="_)d\-mmm\-yy_);_)d\-mmm\-yy_);_)&quot;-&quot;_)"/>
    <numFmt numFmtId="166" formatCode="_(#,##0.0_);\(#,##0.0\);_(&quot;-&quot;_)"/>
    <numFmt numFmtId="167" formatCode="_(#,##0.0%_);\(#,##0.0%\);_(&quot;-&quot;_)"/>
    <numFmt numFmtId="168" formatCode="_(#,##0.0\x_);\(#,##0.0\x\);_(&quot;-&quot;_)"/>
    <numFmt numFmtId="169" formatCode="_(&quot;$&quot;#,##0.0_);\(&quot;$&quot;#,##0.0\);_(&quot;-&quot;_)"/>
    <numFmt numFmtId="170" formatCode="_(#,##0_);\(#,##0\);_(#,##0_)"/>
    <numFmt numFmtId="171" formatCode="#,##0."/>
    <numFmt numFmtId="172" formatCode="_(#,##0_);\(#,##0\);_(&quot;-&quot;_)"/>
    <numFmt numFmtId="173" formatCode="_(#,##0._);\(#,##0\);_(&quot;-&quot;_)"/>
    <numFmt numFmtId="174" formatCode="_(#,##0_);\(#,##0\);_-&quot;-&quot;_-"/>
  </numFmts>
  <fonts count="49">
    <font>
      <sz val="8"/>
      <name val="Tahoma"/>
      <family val="2"/>
      <scheme val="minor"/>
    </font>
    <font>
      <sz val="8"/>
      <name val="Tahoma"/>
      <family val="2"/>
    </font>
    <font>
      <b/>
      <sz val="14"/>
      <name val="Tahoma"/>
      <family val="2"/>
      <scheme val="major"/>
    </font>
    <font>
      <b/>
      <sz val="13"/>
      <name val="Tahoma"/>
      <family val="2"/>
      <scheme val="major"/>
    </font>
    <font>
      <b/>
      <sz val="12"/>
      <name val="Tahoma"/>
      <family val="2"/>
      <scheme val="major"/>
    </font>
    <font>
      <b/>
      <sz val="10"/>
      <name val="Tahoma"/>
      <family val="2"/>
      <scheme val="major"/>
    </font>
    <font>
      <b/>
      <sz val="9"/>
      <name val="Tahoma"/>
      <family val="2"/>
      <scheme val="major"/>
    </font>
    <font>
      <b/>
      <sz val="8"/>
      <name val="Tahoma"/>
      <family val="2"/>
      <scheme val="major"/>
    </font>
    <font>
      <sz val="8"/>
      <name val="Tahoma"/>
      <family val="2"/>
      <scheme val="major"/>
    </font>
    <font>
      <sz val="8"/>
      <name val="Tahoma"/>
      <family val="2"/>
      <scheme val="minor"/>
    </font>
    <font>
      <b/>
      <sz val="8"/>
      <name val="Tahoma"/>
      <family val="2"/>
      <scheme val="minor"/>
    </font>
    <font>
      <b/>
      <u/>
      <sz val="8"/>
      <color indexed="56"/>
      <name val="Tahoma"/>
      <family val="2"/>
      <scheme val="minor"/>
    </font>
    <font>
      <b/>
      <sz val="10"/>
      <color indexed="56"/>
      <name val="Wingdings"/>
      <charset val="2"/>
    </font>
    <font>
      <b/>
      <u/>
      <sz val="10"/>
      <color indexed="56"/>
      <name val="Tahoma"/>
      <family val="2"/>
      <scheme val="minor"/>
    </font>
    <font>
      <b/>
      <u/>
      <sz val="9"/>
      <color indexed="56"/>
      <name val="Tahoma"/>
      <family val="2"/>
      <scheme val="minor"/>
    </font>
    <font>
      <sz val="8"/>
      <color indexed="56"/>
      <name val="Tahoma"/>
      <family val="2"/>
      <scheme val="minor"/>
    </font>
    <font>
      <b/>
      <sz val="14"/>
      <color indexed="60"/>
      <name val="Tahoma"/>
      <family val="2"/>
      <scheme val="major"/>
    </font>
    <font>
      <b/>
      <sz val="12"/>
      <color indexed="59"/>
      <name val="Tahoma"/>
      <family val="2"/>
      <scheme val="major"/>
    </font>
    <font>
      <b/>
      <sz val="8"/>
      <color indexed="60"/>
      <name val="Tahoma"/>
      <family val="2"/>
      <scheme val="major"/>
    </font>
    <font>
      <sz val="8"/>
      <color indexed="60"/>
      <name val="Tahoma"/>
      <family val="2"/>
      <scheme val="major"/>
    </font>
    <font>
      <u/>
      <sz val="8"/>
      <color indexed="6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indexed="60"/>
      <name val="Tahoma"/>
      <family val="2"/>
      <scheme val="major"/>
    </font>
    <font>
      <b/>
      <sz val="10"/>
      <color indexed="56"/>
      <name val="Tahoma"/>
      <family val="2"/>
      <scheme val="minor"/>
    </font>
    <font>
      <b/>
      <sz val="9"/>
      <color indexed="56"/>
      <name val="Tahoma"/>
      <family val="2"/>
      <scheme val="minor"/>
    </font>
    <font>
      <b/>
      <sz val="9"/>
      <color indexed="60"/>
      <name val="Tahoma"/>
      <family val="2"/>
      <scheme val="major"/>
    </font>
    <font>
      <b/>
      <sz val="13"/>
      <color indexed="60"/>
      <name val="Tahoma"/>
      <family val="2"/>
      <scheme val="major"/>
    </font>
    <font>
      <b/>
      <sz val="8"/>
      <color theme="2"/>
      <name val="Tahoma"/>
      <family val="2"/>
    </font>
    <font>
      <b/>
      <sz val="8"/>
      <color theme="3"/>
      <name val="Tahoma"/>
      <family val="2"/>
    </font>
    <font>
      <sz val="8"/>
      <color theme="3"/>
      <name val="Tahoma"/>
      <family val="2"/>
    </font>
    <font>
      <sz val="8"/>
      <color theme="5"/>
      <name val="Tahoma"/>
      <family val="2"/>
    </font>
    <font>
      <b/>
      <sz val="8"/>
      <color theme="5"/>
      <name val="Tahoma"/>
      <family val="2"/>
    </font>
    <font>
      <sz val="8"/>
      <color indexed="18"/>
      <name val="Tahoma"/>
      <family val="2"/>
      <scheme val="minor"/>
    </font>
    <font>
      <sz val="8"/>
      <color indexed="60"/>
      <name val="Tahoma"/>
      <family val="2"/>
      <scheme val="minor"/>
    </font>
    <font>
      <sz val="8"/>
      <color indexed="59"/>
      <name val="Tahoma"/>
      <family val="2"/>
      <scheme val="major"/>
    </font>
    <font>
      <sz val="8"/>
      <color indexed="59"/>
      <name val="Tahoma"/>
      <family val="2"/>
      <scheme val="minor"/>
    </font>
    <font>
      <b/>
      <sz val="8"/>
      <color indexed="59"/>
      <name val="Tahoma"/>
      <family val="2"/>
      <scheme val="minor"/>
    </font>
    <font>
      <b/>
      <sz val="10"/>
      <color indexed="59"/>
      <name val="Arial"/>
      <family val="2"/>
    </font>
    <font>
      <b/>
      <sz val="9"/>
      <color indexed="59"/>
      <name val="Tahoma"/>
      <family val="2"/>
      <scheme val="major"/>
    </font>
    <font>
      <i/>
      <sz val="8"/>
      <color indexed="60"/>
      <name val="Tahoma"/>
      <family val="2"/>
      <scheme val="major"/>
    </font>
    <font>
      <i/>
      <sz val="8"/>
      <name val="Tahoma"/>
      <family val="2"/>
      <scheme val="minor"/>
    </font>
    <font>
      <i/>
      <sz val="8"/>
      <color indexed="59"/>
      <name val="Tahoma"/>
      <family val="2"/>
      <scheme val="major"/>
    </font>
    <font>
      <i/>
      <sz val="8"/>
      <color indexed="59"/>
      <name val="Tahoma"/>
      <family val="2"/>
      <scheme val="minor"/>
    </font>
    <font>
      <i/>
      <sz val="8"/>
      <name val="Tahoma"/>
      <family val="2"/>
      <scheme val="major"/>
    </font>
    <font>
      <sz val="8"/>
      <color rgb="FFFFFFFF"/>
      <name val="Tahoma"/>
      <family val="2"/>
      <scheme val="minor"/>
    </font>
    <font>
      <b/>
      <sz val="8"/>
      <color indexed="59"/>
      <name val="Tahoma"/>
      <family val="2"/>
      <scheme val="major"/>
    </font>
    <font>
      <u/>
      <sz val="8"/>
      <color theme="10"/>
      <name val="Tahoma"/>
      <family val="2"/>
    </font>
    <font>
      <b/>
      <sz val="8"/>
      <color indexed="6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indexed="18"/>
        <bgColor indexed="64"/>
      </patternFill>
    </fill>
  </fills>
  <borders count="3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 style="thin">
        <color theme="3"/>
      </left>
      <right/>
      <top/>
      <bottom/>
      <diagonal/>
    </border>
    <border>
      <left/>
      <right style="thin">
        <color theme="3"/>
      </right>
      <top/>
      <bottom/>
      <diagonal/>
    </border>
    <border>
      <left style="thin">
        <color theme="3"/>
      </left>
      <right/>
      <top/>
      <bottom style="thin">
        <color theme="3"/>
      </bottom>
      <diagonal/>
    </border>
    <border>
      <left/>
      <right/>
      <top/>
      <bottom style="thin">
        <color theme="3"/>
      </bottom>
      <diagonal/>
    </border>
    <border>
      <left/>
      <right style="thin">
        <color theme="3"/>
      </right>
      <top/>
      <bottom style="thin">
        <color theme="3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18"/>
      </left>
      <right/>
      <top style="thin">
        <color indexed="18"/>
      </top>
      <bottom style="thin">
        <color indexed="18"/>
      </bottom>
      <diagonal/>
    </border>
    <border>
      <left/>
      <right style="thin">
        <color indexed="18"/>
      </right>
      <top style="thin">
        <color indexed="18"/>
      </top>
      <bottom style="thin">
        <color indexed="18"/>
      </bottom>
      <diagonal/>
    </border>
    <border>
      <left/>
      <right/>
      <top style="thin">
        <color indexed="18"/>
      </top>
      <bottom/>
      <diagonal/>
    </border>
    <border>
      <left/>
      <right style="thin">
        <color indexed="64"/>
      </right>
      <top/>
      <bottom style="medium">
        <color indexed="18"/>
      </bottom>
      <diagonal/>
    </border>
    <border>
      <left style="thin">
        <color indexed="18"/>
      </left>
      <right style="thin">
        <color indexed="64"/>
      </right>
      <top style="thin">
        <color indexed="18"/>
      </top>
      <bottom style="thin">
        <color indexed="1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59">
    <xf numFmtId="0" fontId="0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0" fontId="9" fillId="0" borderId="1">
      <alignment vertical="center"/>
      <protection locked="0"/>
    </xf>
    <xf numFmtId="164" fontId="9" fillId="0" borderId="1">
      <alignment vertical="center"/>
      <protection locked="0"/>
    </xf>
    <xf numFmtId="165" fontId="9" fillId="0" borderId="1">
      <alignment vertical="center"/>
      <protection locked="0"/>
    </xf>
    <xf numFmtId="166" fontId="9" fillId="0" borderId="1">
      <alignment vertical="center"/>
      <protection locked="0"/>
    </xf>
    <xf numFmtId="167" fontId="9" fillId="0" borderId="1">
      <alignment vertical="center"/>
      <protection locked="0"/>
    </xf>
    <xf numFmtId="168" fontId="9" fillId="0" borderId="1">
      <alignment vertical="center"/>
      <protection locked="0"/>
    </xf>
    <xf numFmtId="169" fontId="9" fillId="0" borderId="1">
      <alignment vertical="center"/>
      <protection locked="0"/>
    </xf>
    <xf numFmtId="0" fontId="1" fillId="0" borderId="0" applyNumberFormat="0" applyFont="0" applyFill="0" applyBorder="0">
      <alignment horizontal="center" vertical="center"/>
      <protection locked="0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0" fillId="0" borderId="3" applyFill="0">
      <alignment horizontal="center" vertical="center"/>
    </xf>
    <xf numFmtId="170" fontId="9" fillId="0" borderId="3" applyFill="0">
      <alignment horizontal="center" vertical="center"/>
    </xf>
    <xf numFmtId="0" fontId="9" fillId="0" borderId="3" applyFill="0">
      <alignment horizontal="center"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2" fillId="0" borderId="0" applyFill="0" applyBorder="0">
      <alignment vertical="center"/>
    </xf>
    <xf numFmtId="0" fontId="3" fillId="0" borderId="0" applyFill="0" applyBorder="0">
      <alignment vertical="center"/>
    </xf>
    <xf numFmtId="0" fontId="4" fillId="0" borderId="0" applyFill="0" applyBorder="0">
      <alignment vertical="center"/>
    </xf>
    <xf numFmtId="0" fontId="5" fillId="0" borderId="0" applyFill="0" applyBorder="0">
      <alignment vertical="center"/>
    </xf>
    <xf numFmtId="0" fontId="6" fillId="0" borderId="0" applyFill="0" applyBorder="0">
      <alignment vertical="center"/>
    </xf>
    <xf numFmtId="0" fontId="7" fillId="0" borderId="0" applyFill="0" applyBorder="0">
      <alignment vertical="center"/>
    </xf>
    <xf numFmtId="0" fontId="8" fillId="0" borderId="0" applyFill="0" applyBorder="0">
      <alignment vertical="center"/>
    </xf>
    <xf numFmtId="0" fontId="8" fillId="0" borderId="0" applyFill="0" applyBorder="0">
      <alignment vertical="center"/>
      <protection locked="0"/>
    </xf>
    <xf numFmtId="166" fontId="9" fillId="0" borderId="0" applyFill="0" applyBorder="0">
      <alignment vertical="center"/>
    </xf>
    <xf numFmtId="167" fontId="9" fillId="0" borderId="0" applyFill="0" applyBorder="0">
      <alignment vertical="center"/>
    </xf>
    <xf numFmtId="168" fontId="9" fillId="0" borderId="0" applyFill="0" applyBorder="0">
      <alignment vertical="center"/>
    </xf>
    <xf numFmtId="169" fontId="9" fillId="0" borderId="0" applyFill="0" applyBorder="0">
      <alignment vertical="center"/>
    </xf>
    <xf numFmtId="164" fontId="9" fillId="0" borderId="0" applyFill="0" applyBorder="0">
      <alignment vertical="center"/>
    </xf>
    <xf numFmtId="165" fontId="9" fillId="0" borderId="0" applyFill="0" applyBorder="0">
      <alignment vertical="center"/>
    </xf>
    <xf numFmtId="0" fontId="10" fillId="0" borderId="0" applyFill="0" applyBorder="0">
      <alignment vertical="center"/>
    </xf>
    <xf numFmtId="0" fontId="11" fillId="0" borderId="0" applyFill="0" applyBorder="0">
      <alignment vertical="center"/>
    </xf>
    <xf numFmtId="0" fontId="12" fillId="0" borderId="0" applyFill="0" applyBorder="0">
      <alignment horizontal="center" vertical="center"/>
    </xf>
    <xf numFmtId="0" fontId="12" fillId="0" borderId="0" applyFill="0" applyBorder="0">
      <alignment horizontal="center" vertical="center"/>
    </xf>
    <xf numFmtId="0" fontId="13" fillId="0" borderId="0" applyFill="0" applyBorder="0">
      <alignment vertical="center"/>
    </xf>
    <xf numFmtId="0" fontId="14" fillId="0" borderId="0" applyFill="0" applyBorder="0">
      <alignment vertical="center"/>
    </xf>
    <xf numFmtId="0" fontId="15" fillId="0" borderId="0" applyFill="0" applyBorder="0">
      <alignment vertical="center"/>
    </xf>
    <xf numFmtId="0" fontId="15" fillId="0" borderId="0" applyFill="0" applyBorder="0">
      <alignment vertical="center"/>
    </xf>
    <xf numFmtId="0" fontId="9" fillId="0" borderId="0" applyFill="0" applyBorder="0">
      <alignment vertical="center"/>
    </xf>
    <xf numFmtId="0" fontId="9" fillId="0" borderId="0" applyFill="0" applyBorder="0">
      <alignment vertical="center"/>
    </xf>
    <xf numFmtId="0" fontId="47" fillId="0" borderId="0" applyNumberFormat="0" applyFill="0" applyBorder="0" applyAlignment="0" applyProtection="0">
      <alignment vertical="top"/>
      <protection locked="0"/>
    </xf>
  </cellStyleXfs>
  <cellXfs count="183">
    <xf numFmtId="0" fontId="0" fillId="0" borderId="0" xfId="0">
      <alignment vertical="center"/>
    </xf>
    <xf numFmtId="0" fontId="16" fillId="0" borderId="0" xfId="1" applyFont="1">
      <alignment vertical="center"/>
    </xf>
    <xf numFmtId="0" fontId="9" fillId="0" borderId="0" xfId="57">
      <alignment vertical="center"/>
    </xf>
    <xf numFmtId="0" fontId="17" fillId="0" borderId="0" xfId="3" applyFont="1">
      <alignment vertical="center"/>
    </xf>
    <xf numFmtId="0" fontId="18" fillId="0" borderId="0" xfId="6" applyFont="1" applyAlignment="1">
      <alignment horizontal="left" vertical="center"/>
    </xf>
    <xf numFmtId="0" fontId="19" fillId="0" borderId="0" xfId="7" applyFont="1" applyAlignment="1">
      <alignment horizontal="center" vertical="center"/>
    </xf>
    <xf numFmtId="0" fontId="19" fillId="0" borderId="0" xfId="7" applyFont="1">
      <alignment vertical="center"/>
    </xf>
    <xf numFmtId="0" fontId="8" fillId="0" borderId="0" xfId="7" applyFont="1">
      <alignment vertical="center"/>
    </xf>
    <xf numFmtId="0" fontId="4" fillId="0" borderId="0" xfId="3" applyFont="1">
      <alignment vertical="center"/>
    </xf>
    <xf numFmtId="0" fontId="11" fillId="0" borderId="0" xfId="27">
      <alignment vertical="center"/>
    </xf>
    <xf numFmtId="0" fontId="12" fillId="0" borderId="0" xfId="28" applyBorder="1">
      <alignment horizontal="center" vertical="center"/>
    </xf>
    <xf numFmtId="0" fontId="23" fillId="0" borderId="4" xfId="4" applyFont="1" applyBorder="1" applyAlignment="1">
      <alignment horizontal="left" vertical="center"/>
    </xf>
    <xf numFmtId="0" fontId="9" fillId="0" borderId="4" xfId="57" applyBorder="1">
      <alignment vertical="center"/>
    </xf>
    <xf numFmtId="0" fontId="23" fillId="0" borderId="4" xfId="4" applyFont="1" applyBorder="1" applyAlignment="1">
      <alignment horizontal="center" vertical="center"/>
    </xf>
    <xf numFmtId="0" fontId="9" fillId="0" borderId="0" xfId="57" applyBorder="1">
      <alignment vertical="center"/>
    </xf>
    <xf numFmtId="172" fontId="24" fillId="0" borderId="0" xfId="30" applyNumberFormat="1" applyFont="1" applyAlignment="1">
      <alignment horizontal="center" vertical="center"/>
    </xf>
    <xf numFmtId="172" fontId="25" fillId="0" borderId="0" xfId="31" applyNumberFormat="1" applyFont="1" applyAlignment="1">
      <alignment horizontal="center" vertical="center"/>
    </xf>
    <xf numFmtId="172" fontId="15" fillId="0" borderId="0" xfId="32" applyNumberFormat="1" applyFont="1" applyAlignment="1">
      <alignment horizontal="center" vertical="center"/>
    </xf>
    <xf numFmtId="0" fontId="15" fillId="0" borderId="0" xfId="33" applyFont="1" applyAlignment="1">
      <alignment horizontal="center" vertical="center"/>
    </xf>
    <xf numFmtId="0" fontId="26" fillId="0" borderId="0" xfId="5" applyFont="1" applyAlignment="1">
      <alignment horizontal="left" vertical="center"/>
    </xf>
    <xf numFmtId="172" fontId="18" fillId="0" borderId="5" xfId="7" applyNumberFormat="1" applyFont="1" applyBorder="1" applyAlignment="1">
      <alignment horizontal="center" vertical="center"/>
    </xf>
    <xf numFmtId="0" fontId="27" fillId="0" borderId="0" xfId="2" applyFont="1">
      <alignment vertical="center"/>
    </xf>
    <xf numFmtId="0" fontId="12" fillId="0" borderId="0" xfId="28" applyAlignment="1">
      <alignment horizontal="right" vertical="center"/>
    </xf>
    <xf numFmtId="0" fontId="12" fillId="0" borderId="0" xfId="28" applyAlignment="1">
      <alignment horizontal="left" vertical="center"/>
    </xf>
    <xf numFmtId="0" fontId="19" fillId="0" borderId="0" xfId="7" applyFont="1" applyAlignment="1">
      <alignment horizontal="left" vertical="center"/>
    </xf>
    <xf numFmtId="0" fontId="9" fillId="0" borderId="0" xfId="56">
      <alignment vertical="center"/>
    </xf>
    <xf numFmtId="0" fontId="2" fillId="0" borderId="0" xfId="34">
      <alignment vertical="center"/>
    </xf>
    <xf numFmtId="0" fontId="4" fillId="0" borderId="0" xfId="36">
      <alignment vertical="center"/>
    </xf>
    <xf numFmtId="0" fontId="12" fillId="0" borderId="0" xfId="50">
      <alignment horizontal="center" vertical="center"/>
    </xf>
    <xf numFmtId="0" fontId="9" fillId="0" borderId="6" xfId="56" applyBorder="1">
      <alignment vertical="center"/>
    </xf>
    <xf numFmtId="0" fontId="9" fillId="0" borderId="7" xfId="56" applyBorder="1">
      <alignment vertical="center"/>
    </xf>
    <xf numFmtId="0" fontId="9" fillId="0" borderId="8" xfId="56" applyBorder="1">
      <alignment vertical="center"/>
    </xf>
    <xf numFmtId="0" fontId="9" fillId="0" borderId="9" xfId="56" applyBorder="1">
      <alignment vertical="center"/>
    </xf>
    <xf numFmtId="0" fontId="29" fillId="0" borderId="0" xfId="39" applyFont="1" applyBorder="1">
      <alignment vertical="center"/>
    </xf>
    <xf numFmtId="0" fontId="9" fillId="0" borderId="0" xfId="56" applyBorder="1">
      <alignment vertical="center"/>
    </xf>
    <xf numFmtId="0" fontId="9" fillId="0" borderId="10" xfId="56" applyBorder="1">
      <alignment vertical="center"/>
    </xf>
    <xf numFmtId="0" fontId="30" fillId="0" borderId="0" xfId="40" applyFont="1" applyBorder="1" applyAlignment="1">
      <alignment horizontal="center"/>
    </xf>
    <xf numFmtId="0" fontId="30" fillId="0" borderId="0" xfId="56" applyFont="1" applyBorder="1">
      <alignment vertical="center"/>
    </xf>
    <xf numFmtId="0" fontId="30" fillId="0" borderId="0" xfId="40" applyFont="1" applyBorder="1">
      <alignment vertical="center"/>
    </xf>
    <xf numFmtId="0" fontId="9" fillId="0" borderId="11" xfId="56" applyBorder="1">
      <alignment vertical="center"/>
    </xf>
    <xf numFmtId="0" fontId="9" fillId="0" borderId="12" xfId="56" applyBorder="1">
      <alignment vertical="center"/>
    </xf>
    <xf numFmtId="0" fontId="9" fillId="0" borderId="13" xfId="56" applyBorder="1">
      <alignment vertical="center"/>
    </xf>
    <xf numFmtId="0" fontId="9" fillId="0" borderId="0" xfId="56" applyBorder="1" applyAlignment="1">
      <alignment horizontal="center"/>
    </xf>
    <xf numFmtId="0" fontId="31" fillId="0" borderId="15" xfId="56" applyFont="1" applyBorder="1">
      <alignment vertical="center"/>
    </xf>
    <xf numFmtId="0" fontId="31" fillId="0" borderId="16" xfId="56" applyFont="1" applyBorder="1">
      <alignment vertical="center"/>
    </xf>
    <xf numFmtId="0" fontId="31" fillId="0" borderId="17" xfId="56" applyFont="1" applyBorder="1">
      <alignment vertical="center"/>
    </xf>
    <xf numFmtId="0" fontId="31" fillId="0" borderId="18" xfId="56" applyFont="1" applyBorder="1">
      <alignment vertical="center"/>
    </xf>
    <xf numFmtId="0" fontId="32" fillId="0" borderId="0" xfId="39" applyFont="1" applyBorder="1">
      <alignment vertical="center"/>
    </xf>
    <xf numFmtId="0" fontId="31" fillId="0" borderId="0" xfId="56" applyFont="1" applyBorder="1">
      <alignment vertical="center"/>
    </xf>
    <xf numFmtId="0" fontId="31" fillId="0" borderId="19" xfId="56" applyFont="1" applyBorder="1">
      <alignment vertical="center"/>
    </xf>
    <xf numFmtId="0" fontId="31" fillId="0" borderId="0" xfId="40" applyFont="1" applyBorder="1" applyAlignment="1">
      <alignment horizontal="center"/>
    </xf>
    <xf numFmtId="0" fontId="31" fillId="0" borderId="0" xfId="40" applyFont="1" applyBorder="1">
      <alignment vertical="center"/>
    </xf>
    <xf numFmtId="0" fontId="31" fillId="0" borderId="20" xfId="56" applyFont="1" applyBorder="1">
      <alignment vertical="center"/>
    </xf>
    <xf numFmtId="0" fontId="31" fillId="0" borderId="14" xfId="56" applyFont="1" applyBorder="1">
      <alignment vertical="center"/>
    </xf>
    <xf numFmtId="0" fontId="31" fillId="0" borderId="21" xfId="56" applyFont="1" applyBorder="1">
      <alignment vertical="center"/>
    </xf>
    <xf numFmtId="0" fontId="9" fillId="4" borderId="0" xfId="57" applyFill="1">
      <alignment vertical="center"/>
    </xf>
    <xf numFmtId="0" fontId="16" fillId="4" borderId="0" xfId="1" applyFont="1" applyFill="1">
      <alignment vertical="center"/>
    </xf>
    <xf numFmtId="0" fontId="4" fillId="4" borderId="0" xfId="3" applyFont="1" applyFill="1">
      <alignment vertical="center"/>
    </xf>
    <xf numFmtId="0" fontId="12" fillId="4" borderId="0" xfId="28" applyFill="1">
      <alignment horizontal="center" vertical="center"/>
    </xf>
    <xf numFmtId="0" fontId="12" fillId="4" borderId="0" xfId="28" applyFill="1" applyAlignment="1">
      <alignment horizontal="right" vertical="center"/>
    </xf>
    <xf numFmtId="0" fontId="12" fillId="4" borderId="0" xfId="28" applyFill="1" applyAlignment="1">
      <alignment horizontal="left" vertical="center"/>
    </xf>
    <xf numFmtId="0" fontId="12" fillId="4" borderId="0" xfId="29" applyFill="1" applyAlignment="1">
      <alignment horizontal="center" vertical="center"/>
    </xf>
    <xf numFmtId="0" fontId="12" fillId="4" borderId="0" xfId="29" applyFill="1" applyAlignment="1">
      <alignment horizontal="left" vertical="center"/>
    </xf>
    <xf numFmtId="0" fontId="23" fillId="4" borderId="0" xfId="4" applyFont="1" applyFill="1" applyAlignment="1">
      <alignment horizontal="left" vertical="center"/>
    </xf>
    <xf numFmtId="0" fontId="26" fillId="4" borderId="0" xfId="5" applyFont="1" applyFill="1" applyAlignment="1">
      <alignment horizontal="left" vertical="center"/>
    </xf>
    <xf numFmtId="0" fontId="19" fillId="4" borderId="0" xfId="7" applyFont="1" applyFill="1" applyAlignment="1">
      <alignment horizontal="left" vertical="center"/>
    </xf>
    <xf numFmtId="0" fontId="33" fillId="4" borderId="0" xfId="16" applyFont="1" applyFill="1" applyAlignment="1">
      <alignment horizontal="center" vertical="center"/>
      <protection locked="0"/>
    </xf>
    <xf numFmtId="0" fontId="18" fillId="4" borderId="0" xfId="6" applyFont="1" applyFill="1" applyAlignment="1">
      <alignment horizontal="left" vertical="center"/>
    </xf>
    <xf numFmtId="0" fontId="19" fillId="4" borderId="0" xfId="7" quotePrefix="1" applyFont="1" applyFill="1" applyAlignment="1">
      <alignment horizontal="right" vertical="center"/>
    </xf>
    <xf numFmtId="0" fontId="19" fillId="4" borderId="0" xfId="7" quotePrefix="1" applyFont="1" applyFill="1" applyAlignment="1">
      <alignment horizontal="left" vertical="center"/>
    </xf>
    <xf numFmtId="0" fontId="37" fillId="4" borderId="0" xfId="23" applyFont="1" applyFill="1" applyAlignment="1">
      <alignment horizontal="left" vertical="center"/>
    </xf>
    <xf numFmtId="0" fontId="37" fillId="4" borderId="0" xfId="23" applyFont="1" applyFill="1" applyAlignment="1">
      <alignment horizontal="right" vertical="center"/>
    </xf>
    <xf numFmtId="0" fontId="37" fillId="4" borderId="4" xfId="23" applyFont="1" applyFill="1" applyBorder="1" applyAlignment="1">
      <alignment horizontal="left" vertical="center"/>
    </xf>
    <xf numFmtId="0" fontId="9" fillId="4" borderId="4" xfId="57" applyFill="1" applyBorder="1">
      <alignment vertical="center"/>
    </xf>
    <xf numFmtId="0" fontId="37" fillId="4" borderId="4" xfId="23" applyFont="1" applyFill="1" applyBorder="1" applyAlignment="1">
      <alignment horizontal="right" vertical="center"/>
    </xf>
    <xf numFmtId="165" fontId="9" fillId="4" borderId="0" xfId="18" applyFont="1" applyFill="1" applyAlignment="1">
      <alignment horizontal="right" vertical="center"/>
    </xf>
    <xf numFmtId="164" fontId="36" fillId="4" borderId="0" xfId="17" applyFont="1" applyFill="1" applyAlignment="1">
      <alignment horizontal="right" vertical="center"/>
    </xf>
    <xf numFmtId="0" fontId="35" fillId="4" borderId="0" xfId="7" applyFont="1" applyFill="1" applyAlignment="1">
      <alignment horizontal="right" vertical="center"/>
    </xf>
    <xf numFmtId="172" fontId="9" fillId="4" borderId="0" xfId="19" applyNumberFormat="1" applyFont="1" applyFill="1" applyAlignment="1">
      <alignment horizontal="right" vertical="center"/>
    </xf>
    <xf numFmtId="0" fontId="19" fillId="4" borderId="4" xfId="7" applyFont="1" applyFill="1" applyBorder="1" applyAlignment="1">
      <alignment horizontal="left" vertical="center"/>
    </xf>
    <xf numFmtId="166" fontId="36" fillId="4" borderId="4" xfId="19" applyFont="1" applyFill="1" applyBorder="1" applyAlignment="1">
      <alignment horizontal="right" vertical="center"/>
    </xf>
    <xf numFmtId="0" fontId="23" fillId="4" borderId="0" xfId="4" applyFont="1" applyFill="1">
      <alignment vertical="center"/>
    </xf>
    <xf numFmtId="0" fontId="18" fillId="4" borderId="25" xfId="6" applyFont="1" applyFill="1" applyBorder="1" applyAlignment="1">
      <alignment horizontal="right" vertical="center"/>
    </xf>
    <xf numFmtId="0" fontId="18" fillId="4" borderId="0" xfId="6" quotePrefix="1" applyFont="1" applyFill="1">
      <alignment vertical="center"/>
    </xf>
    <xf numFmtId="0" fontId="19" fillId="4" borderId="0" xfId="7" applyFont="1" applyFill="1">
      <alignment vertical="center"/>
    </xf>
    <xf numFmtId="166" fontId="34" fillId="0" borderId="26" xfId="12" applyFont="1" applyBorder="1">
      <alignment vertical="center"/>
      <protection locked="0"/>
    </xf>
    <xf numFmtId="167" fontId="34" fillId="0" borderId="23" xfId="13" applyFont="1" applyBorder="1">
      <alignment vertical="center"/>
      <protection locked="0"/>
    </xf>
    <xf numFmtId="167" fontId="34" fillId="0" borderId="1" xfId="13" applyFont="1">
      <alignment vertical="center"/>
      <protection locked="0"/>
    </xf>
    <xf numFmtId="0" fontId="18" fillId="4" borderId="0" xfId="6" applyFont="1" applyFill="1">
      <alignment vertical="center"/>
    </xf>
    <xf numFmtId="173" fontId="34" fillId="4" borderId="0" xfId="19" quotePrefix="1" applyNumberFormat="1" applyFont="1" applyFill="1" applyAlignment="1">
      <alignment horizontal="right" vertical="center"/>
    </xf>
    <xf numFmtId="0" fontId="35" fillId="4" borderId="0" xfId="7" applyFont="1" applyFill="1">
      <alignment vertical="center"/>
    </xf>
    <xf numFmtId="172" fontId="34" fillId="0" borderId="1" xfId="12" applyNumberFormat="1" applyFont="1">
      <alignment vertical="center"/>
      <protection locked="0"/>
    </xf>
    <xf numFmtId="174" fontId="10" fillId="4" borderId="27" xfId="19" applyNumberFormat="1" applyFont="1" applyFill="1" applyBorder="1" applyAlignment="1">
      <alignment horizontal="right" vertical="center"/>
    </xf>
    <xf numFmtId="172" fontId="9" fillId="4" borderId="0" xfId="19" applyNumberFormat="1" applyFont="1" applyFill="1">
      <alignment vertical="center"/>
    </xf>
    <xf numFmtId="0" fontId="12" fillId="0" borderId="0" xfId="28">
      <alignment horizontal="center" vertical="center"/>
    </xf>
    <xf numFmtId="0" fontId="12" fillId="0" borderId="0" xfId="29" applyAlignment="1">
      <alignment horizontal="center" vertical="center"/>
    </xf>
    <xf numFmtId="0" fontId="12" fillId="0" borderId="0" xfId="29" applyAlignment="1">
      <alignment horizontal="left" vertical="center"/>
    </xf>
    <xf numFmtId="0" fontId="37" fillId="0" borderId="0" xfId="23" applyFont="1" applyAlignment="1">
      <alignment horizontal="left" vertical="center"/>
    </xf>
    <xf numFmtId="0" fontId="37" fillId="0" borderId="0" xfId="23" applyFont="1" applyAlignment="1">
      <alignment horizontal="right" vertical="center"/>
    </xf>
    <xf numFmtId="0" fontId="37" fillId="0" borderId="4" xfId="23" applyFont="1" applyBorder="1" applyAlignment="1">
      <alignment horizontal="left" vertical="center"/>
    </xf>
    <xf numFmtId="0" fontId="37" fillId="0" borderId="4" xfId="23" applyFont="1" applyBorder="1" applyAlignment="1">
      <alignment horizontal="right" vertical="center"/>
    </xf>
    <xf numFmtId="165" fontId="9" fillId="0" borderId="0" xfId="18" applyFont="1" applyAlignment="1">
      <alignment horizontal="right" vertical="center"/>
    </xf>
    <xf numFmtId="164" fontId="36" fillId="0" borderId="0" xfId="17" applyFont="1" applyAlignment="1">
      <alignment horizontal="right" vertical="center"/>
    </xf>
    <xf numFmtId="0" fontId="35" fillId="0" borderId="0" xfId="7" applyFont="1" applyAlignment="1">
      <alignment horizontal="right" vertical="center"/>
    </xf>
    <xf numFmtId="172" fontId="9" fillId="0" borderId="0" xfId="19" applyNumberFormat="1" applyFont="1" applyAlignment="1">
      <alignment horizontal="right" vertical="center"/>
    </xf>
    <xf numFmtId="0" fontId="19" fillId="0" borderId="4" xfId="7" applyFont="1" applyBorder="1" applyAlignment="1">
      <alignment horizontal="left" vertical="center"/>
    </xf>
    <xf numFmtId="166" fontId="36" fillId="0" borderId="4" xfId="19" applyFont="1" applyBorder="1" applyAlignment="1">
      <alignment horizontal="right" vertical="center"/>
    </xf>
    <xf numFmtId="0" fontId="23" fillId="0" borderId="0" xfId="4" applyFont="1">
      <alignment vertical="center"/>
    </xf>
    <xf numFmtId="166" fontId="9" fillId="0" borderId="0" xfId="19" applyFont="1">
      <alignment vertical="center"/>
    </xf>
    <xf numFmtId="0" fontId="38" fillId="0" borderId="0" xfId="57" applyFont="1" applyAlignment="1">
      <alignment horizontal="left" vertical="center"/>
    </xf>
    <xf numFmtId="0" fontId="39" fillId="0" borderId="0" xfId="5" applyFont="1">
      <alignment vertical="center"/>
    </xf>
    <xf numFmtId="0" fontId="19" fillId="0" borderId="0" xfId="7" applyFont="1" applyBorder="1">
      <alignment vertical="center"/>
    </xf>
    <xf numFmtId="166" fontId="9" fillId="0" borderId="0" xfId="19" applyFont="1" applyBorder="1">
      <alignment vertical="center"/>
    </xf>
    <xf numFmtId="0" fontId="40" fillId="0" borderId="0" xfId="7" applyFont="1">
      <alignment vertical="center"/>
    </xf>
    <xf numFmtId="166" fontId="41" fillId="0" borderId="0" xfId="19" applyFont="1" applyBorder="1">
      <alignment vertical="center"/>
    </xf>
    <xf numFmtId="0" fontId="18" fillId="0" borderId="0" xfId="6" applyFont="1">
      <alignment vertical="center"/>
    </xf>
    <xf numFmtId="166" fontId="10" fillId="0" borderId="5" xfId="19" applyFont="1" applyBorder="1">
      <alignment vertical="center"/>
    </xf>
    <xf numFmtId="0" fontId="42" fillId="0" borderId="0" xfId="7" applyFont="1">
      <alignment vertical="center"/>
    </xf>
    <xf numFmtId="167" fontId="43" fillId="0" borderId="0" xfId="20" applyFont="1" applyAlignment="1">
      <alignment horizontal="right" vertical="center"/>
    </xf>
    <xf numFmtId="172" fontId="41" fillId="0" borderId="0" xfId="19" applyNumberFormat="1" applyFont="1">
      <alignment vertical="center"/>
    </xf>
    <xf numFmtId="172" fontId="9" fillId="0" borderId="0" xfId="19" applyNumberFormat="1" applyFont="1">
      <alignment vertical="center"/>
    </xf>
    <xf numFmtId="172" fontId="36" fillId="0" borderId="0" xfId="19" applyNumberFormat="1" applyFont="1">
      <alignment vertical="center"/>
    </xf>
    <xf numFmtId="172" fontId="36" fillId="0" borderId="28" xfId="19" applyNumberFormat="1" applyFont="1" applyBorder="1">
      <alignment vertical="center"/>
    </xf>
    <xf numFmtId="174" fontId="10" fillId="0" borderId="27" xfId="19" applyNumberFormat="1" applyFont="1" applyBorder="1" applyAlignment="1">
      <alignment horizontal="right" vertical="center"/>
    </xf>
    <xf numFmtId="167" fontId="9" fillId="0" borderId="0" xfId="20" applyFont="1">
      <alignment vertical="center"/>
    </xf>
    <xf numFmtId="0" fontId="5" fillId="0" borderId="0" xfId="4" applyFont="1">
      <alignment vertical="center"/>
    </xf>
    <xf numFmtId="166" fontId="10" fillId="0" borderId="0" xfId="19" applyFont="1">
      <alignment vertical="center"/>
    </xf>
    <xf numFmtId="0" fontId="6" fillId="0" borderId="0" xfId="5" applyFont="1">
      <alignment vertical="center"/>
    </xf>
    <xf numFmtId="0" fontId="8" fillId="0" borderId="0" xfId="7" applyFont="1" applyBorder="1">
      <alignment vertical="center"/>
    </xf>
    <xf numFmtId="0" fontId="44" fillId="0" borderId="0" xfId="7" applyFont="1">
      <alignment vertical="center"/>
    </xf>
    <xf numFmtId="0" fontId="7" fillId="0" borderId="0" xfId="6" applyFont="1">
      <alignment vertical="center"/>
    </xf>
    <xf numFmtId="0" fontId="23" fillId="0" borderId="0" xfId="4" applyFont="1" applyAlignment="1">
      <alignment horizontal="left" vertical="center"/>
    </xf>
    <xf numFmtId="0" fontId="45" fillId="0" borderId="0" xfId="16" applyFont="1" applyAlignment="1">
      <alignment horizontal="center" vertical="center"/>
      <protection locked="0"/>
    </xf>
    <xf numFmtId="0" fontId="7" fillId="0" borderId="0" xfId="6" applyFont="1" applyAlignment="1">
      <alignment horizontal="left" vertical="center"/>
    </xf>
    <xf numFmtId="172" fontId="10" fillId="0" borderId="2" xfId="19" applyNumberFormat="1" applyFont="1" applyBorder="1" applyAlignment="1">
      <alignment horizontal="center" vertical="center"/>
    </xf>
    <xf numFmtId="172" fontId="18" fillId="0" borderId="0" xfId="6" applyNumberFormat="1" applyFont="1" applyAlignment="1">
      <alignment horizontal="left" vertical="center"/>
    </xf>
    <xf numFmtId="172" fontId="46" fillId="0" borderId="29" xfId="7" applyNumberFormat="1" applyFont="1" applyBorder="1" applyAlignment="1">
      <alignment horizontal="left" vertical="center"/>
    </xf>
    <xf numFmtId="0" fontId="18" fillId="0" borderId="4" xfId="6" applyFont="1" applyBorder="1" applyAlignment="1">
      <alignment horizontal="left" vertical="center"/>
    </xf>
    <xf numFmtId="0" fontId="18" fillId="0" borderId="4" xfId="6" applyFont="1" applyBorder="1" applyAlignment="1">
      <alignment horizontal="center" vertical="center"/>
    </xf>
    <xf numFmtId="0" fontId="18" fillId="0" borderId="0" xfId="6" applyFont="1" applyBorder="1" applyAlignment="1">
      <alignment horizontal="left" vertical="center"/>
    </xf>
    <xf numFmtId="0" fontId="18" fillId="0" borderId="0" xfId="6" applyFont="1" applyBorder="1" applyAlignment="1">
      <alignment horizontal="center" vertical="center"/>
    </xf>
    <xf numFmtId="0" fontId="47" fillId="0" borderId="0" xfId="58" applyAlignment="1" applyProtection="1">
      <alignment vertical="center"/>
    </xf>
    <xf numFmtId="172" fontId="9" fillId="0" borderId="0" xfId="19" applyNumberFormat="1" applyFont="1" applyAlignment="1">
      <alignment horizontal="center" vertical="center"/>
    </xf>
    <xf numFmtId="0" fontId="34" fillId="0" borderId="0" xfId="16" applyFont="1" applyAlignment="1">
      <alignment horizontal="center" vertical="center"/>
      <protection locked="0"/>
    </xf>
    <xf numFmtId="172" fontId="36" fillId="0" borderId="0" xfId="19" applyNumberFormat="1" applyFont="1" applyAlignment="1">
      <alignment horizontal="center" vertical="center"/>
    </xf>
    <xf numFmtId="172" fontId="37" fillId="0" borderId="3" xfId="19" applyNumberFormat="1" applyFont="1" applyBorder="1" applyAlignment="1">
      <alignment horizontal="center" vertical="center"/>
    </xf>
    <xf numFmtId="0" fontId="48" fillId="0" borderId="3" xfId="24" applyFont="1" applyAlignment="1">
      <alignment horizontal="center" vertical="center"/>
    </xf>
    <xf numFmtId="172" fontId="34" fillId="0" borderId="3" xfId="25" applyNumberFormat="1" applyFont="1" applyAlignment="1">
      <alignment horizontal="center" vertical="center"/>
    </xf>
    <xf numFmtId="172" fontId="9" fillId="0" borderId="3" xfId="25" applyNumberFormat="1" applyFont="1" applyAlignment="1">
      <alignment horizontal="center" vertical="center"/>
    </xf>
    <xf numFmtId="0" fontId="34" fillId="0" borderId="3" xfId="26" applyFont="1" applyAlignment="1">
      <alignment horizontal="center" vertical="center"/>
    </xf>
    <xf numFmtId="0" fontId="11" fillId="0" borderId="0" xfId="27">
      <alignment vertical="center"/>
    </xf>
    <xf numFmtId="0" fontId="15" fillId="0" borderId="0" xfId="33">
      <alignment vertical="center"/>
    </xf>
    <xf numFmtId="171" fontId="13" fillId="0" borderId="0" xfId="30" applyNumberFormat="1" applyAlignment="1">
      <alignment horizontal="right" vertical="center"/>
    </xf>
    <xf numFmtId="0" fontId="13" fillId="0" borderId="0" xfId="30">
      <alignment vertical="center"/>
    </xf>
    <xf numFmtId="0" fontId="14" fillId="0" borderId="0" xfId="31" applyAlignment="1">
      <alignment horizontal="right" vertical="center"/>
    </xf>
    <xf numFmtId="0" fontId="14" fillId="0" borderId="0" xfId="31">
      <alignment vertical="center"/>
    </xf>
    <xf numFmtId="0" fontId="15" fillId="0" borderId="0" xfId="32" quotePrefix="1" applyAlignment="1">
      <alignment horizontal="right" vertical="center"/>
    </xf>
    <xf numFmtId="0" fontId="15" fillId="0" borderId="0" xfId="32">
      <alignment vertical="center"/>
    </xf>
    <xf numFmtId="0" fontId="28" fillId="2" borderId="0" xfId="39" applyFont="1" applyFill="1" applyAlignment="1">
      <alignment horizontal="center" vertical="center"/>
    </xf>
    <xf numFmtId="0" fontId="30" fillId="0" borderId="0" xfId="56" applyFont="1" applyBorder="1" applyAlignment="1">
      <alignment vertical="center" wrapText="1"/>
    </xf>
    <xf numFmtId="0" fontId="28" fillId="3" borderId="0" xfId="39" applyFont="1" applyFill="1" applyBorder="1" applyAlignment="1">
      <alignment horizontal="center" vertical="center"/>
    </xf>
    <xf numFmtId="0" fontId="28" fillId="3" borderId="14" xfId="39" applyFont="1" applyFill="1" applyBorder="1" applyAlignment="1">
      <alignment horizontal="center" vertical="center"/>
    </xf>
    <xf numFmtId="0" fontId="31" fillId="0" borderId="0" xfId="56" applyFont="1" applyBorder="1" applyAlignment="1">
      <alignment vertical="center" wrapText="1"/>
    </xf>
    <xf numFmtId="0" fontId="11" fillId="0" borderId="0" xfId="49">
      <alignment vertical="center"/>
    </xf>
    <xf numFmtId="0" fontId="12" fillId="0" borderId="0" xfId="50" applyAlignment="1">
      <alignment horizontal="right" vertical="center"/>
    </xf>
    <xf numFmtId="0" fontId="12" fillId="0" borderId="0" xfId="50" applyAlignment="1">
      <alignment horizontal="left" vertical="center"/>
    </xf>
    <xf numFmtId="0" fontId="12" fillId="0" borderId="0" xfId="29" applyAlignment="1">
      <alignment horizontal="center" vertical="center"/>
    </xf>
    <xf numFmtId="172" fontId="9" fillId="4" borderId="0" xfId="19" applyNumberFormat="1" applyFont="1" applyFill="1" applyAlignment="1">
      <alignment horizontal="center" vertical="center"/>
    </xf>
    <xf numFmtId="0" fontId="11" fillId="4" borderId="0" xfId="27" applyFill="1">
      <alignment vertical="center"/>
    </xf>
    <xf numFmtId="0" fontId="19" fillId="4" borderId="0" xfId="7" applyFont="1" applyFill="1" applyAlignment="1">
      <alignment horizontal="center" vertical="center"/>
    </xf>
    <xf numFmtId="0" fontId="8" fillId="4" borderId="0" xfId="7" applyFont="1" applyFill="1" applyAlignment="1">
      <alignment horizontal="center" vertical="center"/>
    </xf>
    <xf numFmtId="165" fontId="34" fillId="0" borderId="22" xfId="11" applyFont="1" applyBorder="1" applyAlignment="1">
      <alignment horizontal="center" vertical="center"/>
      <protection locked="0"/>
    </xf>
    <xf numFmtId="165" fontId="34" fillId="0" borderId="23" xfId="11" applyFont="1" applyBorder="1" applyAlignment="1">
      <alignment horizontal="center" vertical="center"/>
      <protection locked="0"/>
    </xf>
    <xf numFmtId="172" fontId="34" fillId="4" borderId="24" xfId="19" applyNumberFormat="1" applyFont="1" applyFill="1" applyBorder="1" applyAlignment="1">
      <alignment horizontal="center" vertical="center"/>
    </xf>
    <xf numFmtId="0" fontId="35" fillId="4" borderId="0" xfId="7" applyFont="1" applyFill="1" applyAlignment="1">
      <alignment horizontal="center" vertical="center"/>
    </xf>
    <xf numFmtId="165" fontId="9" fillId="4" borderId="0" xfId="18" applyFont="1" applyFill="1" applyAlignment="1">
      <alignment horizontal="center" vertical="center"/>
    </xf>
    <xf numFmtId="0" fontId="33" fillId="4" borderId="0" xfId="16" applyFont="1" applyFill="1" applyAlignment="1">
      <alignment horizontal="center" vertical="center"/>
      <protection locked="0"/>
    </xf>
    <xf numFmtId="0" fontId="34" fillId="4" borderId="0" xfId="16" applyFont="1" applyFill="1" applyAlignment="1">
      <alignment horizontal="center" vertical="center"/>
      <protection locked="0"/>
    </xf>
    <xf numFmtId="172" fontId="34" fillId="0" borderId="22" xfId="12" applyNumberFormat="1" applyFont="1" applyBorder="1" applyAlignment="1">
      <alignment horizontal="center" vertical="center"/>
      <protection locked="0"/>
    </xf>
    <xf numFmtId="172" fontId="34" fillId="0" borderId="23" xfId="12" applyNumberFormat="1" applyFont="1" applyBorder="1" applyAlignment="1">
      <alignment horizontal="center" vertical="center"/>
      <protection locked="0"/>
    </xf>
    <xf numFmtId="0" fontId="34" fillId="0" borderId="22" xfId="9" applyFont="1" applyBorder="1" applyAlignment="1">
      <alignment horizontal="center" vertical="center"/>
      <protection locked="0"/>
    </xf>
    <xf numFmtId="0" fontId="34" fillId="0" borderId="23" xfId="9" applyFont="1" applyBorder="1" applyAlignment="1">
      <alignment horizontal="center" vertical="center"/>
      <protection locked="0"/>
    </xf>
    <xf numFmtId="172" fontId="36" fillId="4" borderId="0" xfId="19" applyNumberFormat="1" applyFont="1" applyFill="1" applyAlignment="1">
      <alignment horizontal="center" vertical="center"/>
    </xf>
  </cellXfs>
  <cellStyles count="59">
    <cellStyle name="Assumption Currency." xfId="15"/>
    <cellStyle name="Assumption Date." xfId="11"/>
    <cellStyle name="Assumption Heading." xfId="9"/>
    <cellStyle name="Assumption Multiple." xfId="14"/>
    <cellStyle name="Assumption Number." xfId="12"/>
    <cellStyle name="Assumption Percentage." xfId="13"/>
    <cellStyle name="Assumption Year." xfId="10"/>
    <cellStyle name="Cell Link." xfId="16"/>
    <cellStyle name="Currency." xfId="22"/>
    <cellStyle name="Date." xfId="18"/>
    <cellStyle name="Heading 1." xfId="4"/>
    <cellStyle name="Heading 2." xfId="5"/>
    <cellStyle name="Heading 3." xfId="6"/>
    <cellStyle name="Heading 4." xfId="7"/>
    <cellStyle name="Hyperlink" xfId="58" builtinId="8"/>
    <cellStyle name="Hyperlink Arrow." xfId="28"/>
    <cellStyle name="Hyperlink Check." xfId="29"/>
    <cellStyle name="Hyperlink Text." xfId="27"/>
    <cellStyle name="Hyperlink TOC 1." xfId="30"/>
    <cellStyle name="Hyperlink TOC 2." xfId="31"/>
    <cellStyle name="Hyperlink TOC 3." xfId="32"/>
    <cellStyle name="Hyperlink TOC 4." xfId="33"/>
    <cellStyle name="Lookup Table Heading." xfId="24"/>
    <cellStyle name="Lookup Table Label." xfId="26"/>
    <cellStyle name="Lookup Table Number." xfId="25"/>
    <cellStyle name="Model Name." xfId="3"/>
    <cellStyle name="Multiple." xfId="21"/>
    <cellStyle name="Normal" xfId="0" builtinId="0" customBuiltin="1"/>
    <cellStyle name="Normal 2" xfId="57"/>
    <cellStyle name="Number." xfId="19"/>
    <cellStyle name="Percentage." xfId="20"/>
    <cellStyle name="Period Title." xfId="23"/>
    <cellStyle name="Presentation Currency." xfId="45"/>
    <cellStyle name="Presentation Date." xfId="47"/>
    <cellStyle name="Presentation Heading 1." xfId="37"/>
    <cellStyle name="Presentation Heading 2." xfId="38"/>
    <cellStyle name="Presentation Heading 3." xfId="39"/>
    <cellStyle name="Presentation Heading 4." xfId="40"/>
    <cellStyle name="Presentation Hyperlink Arrow." xfId="50"/>
    <cellStyle name="Presentation Hyperlink Check." xfId="51"/>
    <cellStyle name="Presentation Hyperlink Text." xfId="49"/>
    <cellStyle name="Presentation Model Name." xfId="36"/>
    <cellStyle name="Presentation Multiple." xfId="44"/>
    <cellStyle name="Presentation Normal." xfId="56"/>
    <cellStyle name="Presentation Number." xfId="42"/>
    <cellStyle name="Presentation Percentage." xfId="43"/>
    <cellStyle name="Presentation Period Title." xfId="48"/>
    <cellStyle name="Presentation Section Number." xfId="35"/>
    <cellStyle name="Presentation Sheet Title." xfId="34"/>
    <cellStyle name="Presentation Sub Total." xfId="41"/>
    <cellStyle name="Presentation TOC 1." xfId="52"/>
    <cellStyle name="Presentation TOC 2." xfId="53"/>
    <cellStyle name="Presentation TOC 3." xfId="54"/>
    <cellStyle name="Presentation TOC 4." xfId="55"/>
    <cellStyle name="Presentation Year." xfId="46"/>
    <cellStyle name="Section Number." xfId="2"/>
    <cellStyle name="Sheet Title." xfId="1"/>
    <cellStyle name="Sub Total." xfId="8"/>
    <cellStyle name="Year." xfId="17"/>
  </cellStyles>
  <dxfs count="40"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ndense val="0"/>
        <extend val="0"/>
        <color indexed="58"/>
      </font>
    </dxf>
    <dxf>
      <font>
        <b/>
        <i val="0"/>
        <color indexed="58"/>
      </font>
    </dxf>
    <dxf>
      <font>
        <b/>
        <i val="0"/>
        <color indexed="58"/>
      </font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  <dxf>
      <font>
        <b val="0"/>
        <i val="0"/>
        <strike val="0"/>
        <color indexed="63"/>
      </font>
      <fill>
        <patternFill patternType="solid">
          <bgColor indexed="1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C0C0C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993366"/>
      <rgbColor rgb="00339966"/>
      <rgbColor rgb="00CB2840"/>
      <rgbColor rgb="00007767"/>
      <rgbColor rgb="000069B3"/>
      <rgbColor rgb="00993366"/>
      <rgbColor rgb="00FFFF78"/>
      <rgbColor rgb="00FFFFFF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12</xdr:row>
      <xdr:rowOff>0</xdr:rowOff>
    </xdr:from>
    <xdr:to>
      <xdr:col>7</xdr:col>
      <xdr:colOff>429155</xdr:colOff>
      <xdr:row>17</xdr:row>
      <xdr:rowOff>0</xdr:rowOff>
    </xdr:to>
    <xdr:pic>
      <xdr:nvPicPr>
        <xdr:cNvPr id="2" name="Picture 1" descr="WorkbookLogo1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52551" y="1752600"/>
          <a:ext cx="1981729" cy="666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6</xdr:row>
      <xdr:rowOff>0</xdr:rowOff>
    </xdr:from>
    <xdr:to>
      <xdr:col>41</xdr:col>
      <xdr:colOff>126</xdr:colOff>
      <xdr:row>16</xdr:row>
      <xdr:rowOff>127</xdr:rowOff>
    </xdr:to>
    <xdr:sp macro="" textlink="">
      <xdr:nvSpPr>
        <xdr:cNvPr id="2" name="Rectangle 1"/>
        <xdr:cNvSpPr/>
      </xdr:nvSpPr>
      <xdr:spPr>
        <a:xfrm>
          <a:off x="2886075" y="9810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21</xdr:col>
      <xdr:colOff>0</xdr:colOff>
      <xdr:row>22</xdr:row>
      <xdr:rowOff>0</xdr:rowOff>
    </xdr:from>
    <xdr:to>
      <xdr:col>41</xdr:col>
      <xdr:colOff>126</xdr:colOff>
      <xdr:row>32</xdr:row>
      <xdr:rowOff>127</xdr:rowOff>
    </xdr:to>
    <xdr:sp macro="" textlink="">
      <xdr:nvSpPr>
        <xdr:cNvPr id="3" name="Rectangle 2"/>
        <xdr:cNvSpPr/>
      </xdr:nvSpPr>
      <xdr:spPr>
        <a:xfrm>
          <a:off x="2886075" y="3114675"/>
          <a:ext cx="2667126" cy="1333627"/>
        </a:xfrm>
        <a:prstGeom prst="rect">
          <a:avLst/>
        </a:prstGeom>
        <a:noFill/>
        <a:ln w="9525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30</xdr:col>
      <xdr:colOff>132620</xdr:colOff>
      <xdr:row>16</xdr:row>
      <xdr:rowOff>921</xdr:rowOff>
    </xdr:from>
    <xdr:to>
      <xdr:col>31</xdr:col>
      <xdr:colOff>858</xdr:colOff>
      <xdr:row>22</xdr:row>
      <xdr:rowOff>794</xdr:rowOff>
    </xdr:to>
    <xdr:cxnSp macro="">
      <xdr:nvCxnSpPr>
        <xdr:cNvPr id="4" name="Straight Arrow Connector 3"/>
        <xdr:cNvCxnSpPr>
          <a:stCxn id="3" idx="0"/>
          <a:endCxn id="2" idx="2"/>
        </xdr:cNvCxnSpPr>
      </xdr:nvCxnSpPr>
      <xdr:spPr>
        <a:xfrm rot="5400000" flipH="1" flipV="1">
          <a:off x="3819652" y="2714689"/>
          <a:ext cx="799973" cy="1588"/>
        </a:xfrm>
        <a:prstGeom prst="straightConnector1">
          <a:avLst/>
        </a:prstGeom>
        <a:ln w="1270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Tahoma"/>
        <a:ea typeface="Tahoma"/>
        <a:cs typeface="Tahoma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bestpracticemodelling.com/training_models_disclaimer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autoPageBreaks="0" fitToPage="1"/>
  </sheetPr>
  <dimension ref="C9:M24"/>
  <sheetViews>
    <sheetView showGridLines="0" tabSelected="1" zoomScaleNormal="100" workbookViewId="0"/>
  </sheetViews>
  <sheetFormatPr defaultColWidth="11.83203125" defaultRowHeight="10.5"/>
  <cols>
    <col min="1" max="2" width="11.83203125" style="2"/>
    <col min="3" max="6" width="3.83203125" style="2" customWidth="1"/>
    <col min="7" max="16384" width="11.83203125" style="2"/>
  </cols>
  <sheetData>
    <row r="9" spans="3:7" ht="18">
      <c r="C9" s="1" t="s">
        <v>0</v>
      </c>
    </row>
    <row r="10" spans="3:7" ht="15">
      <c r="C10" s="3" t="str">
        <f>"SMA 13. Multiple Workbooks - Best Practice Model Example 2"&amp;Err_Chks_Msg&amp;Sens_Chks_Msg&amp;Alt_Chks_Msg</f>
        <v>SMA 13. Multiple Workbooks - Best Practice Model Example 2</v>
      </c>
    </row>
    <row r="11" spans="3:7">
      <c r="C11" s="150" t="s">
        <v>1</v>
      </c>
      <c r="D11" s="150"/>
      <c r="E11" s="150"/>
      <c r="F11" s="150"/>
      <c r="G11" s="150"/>
    </row>
    <row r="19" spans="3:13">
      <c r="C19" s="4" t="s">
        <v>2</v>
      </c>
    </row>
    <row r="21" spans="3:13">
      <c r="C21" s="4" t="s">
        <v>3</v>
      </c>
    </row>
    <row r="22" spans="3:13">
      <c r="C22" s="5" t="s">
        <v>4</v>
      </c>
      <c r="D22" s="6" t="s">
        <v>5</v>
      </c>
    </row>
    <row r="23" spans="3:13">
      <c r="C23" s="5" t="s">
        <v>4</v>
      </c>
      <c r="D23" s="6" t="s">
        <v>6</v>
      </c>
    </row>
    <row r="24" spans="3:13">
      <c r="C24" s="5" t="s">
        <v>4</v>
      </c>
      <c r="D24" s="6" t="s">
        <v>7</v>
      </c>
      <c r="E24" s="7"/>
      <c r="F24" s="7"/>
      <c r="G24" s="7"/>
      <c r="H24" s="7"/>
      <c r="I24" s="7"/>
      <c r="J24" s="7"/>
      <c r="K24" s="7"/>
      <c r="L24" s="7"/>
      <c r="M24" s="7"/>
    </row>
  </sheetData>
  <mergeCells count="1">
    <mergeCell ref="C11:G11"/>
  </mergeCells>
  <hyperlinks>
    <hyperlink ref="D24:M24" r:id="rId1" tooltip="View the training model usage terms and conditions." display="Use of this model is subject to the training model terms and conditions on the Best Practice Modelling website."/>
    <hyperlink ref="C11" location="HL_Home" tooltip="Go to Table of Contents" display="HL_Home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2"/>
  <drawing r:id="rId3"/>
  <legacyDrawing r:id="rId4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>
    <pageSetUpPr autoPageBreaks="0"/>
  </sheetPr>
  <dimension ref="A1:Q47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style="55" customWidth="1"/>
    <col min="6" max="254" width="11.83203125" style="55" customWidth="1"/>
    <col min="255" max="16384" width="9.33203125" style="55"/>
  </cols>
  <sheetData>
    <row r="1" spans="1:17" ht="18">
      <c r="B1" s="56" t="s">
        <v>51</v>
      </c>
    </row>
    <row r="2" spans="1:17" ht="15">
      <c r="B2" s="57" t="str">
        <f>Model_Name</f>
        <v>SMA 13. Multiple Workbooks - Best Practice Model Example 2</v>
      </c>
    </row>
    <row r="3" spans="1:17">
      <c r="B3" s="168" t="s">
        <v>1</v>
      </c>
      <c r="C3" s="168"/>
      <c r="D3" s="168"/>
      <c r="E3" s="168"/>
      <c r="F3" s="168"/>
    </row>
    <row r="4" spans="1:17" ht="12.75">
      <c r="A4" s="58" t="s">
        <v>10</v>
      </c>
      <c r="B4" s="59" t="s">
        <v>24</v>
      </c>
      <c r="C4" s="60" t="s">
        <v>25</v>
      </c>
      <c r="D4" s="61" t="s">
        <v>36</v>
      </c>
      <c r="E4" s="61" t="s">
        <v>37</v>
      </c>
      <c r="F4" s="62" t="s">
        <v>38</v>
      </c>
    </row>
    <row r="6" spans="1:17">
      <c r="B6" s="70" t="str">
        <f>IF(TS_Pers_In_Yr=1,"",TS_Per_Type_Name&amp;" Ending")</f>
        <v/>
      </c>
      <c r="J6" s="71" t="str">
        <f t="shared" ref="J6:Q6" si="0">IF(TS_Pers_In_Yr=1,"",LEFT(INDEX(LU_Mth_Names,MONTH(J9)),3)&amp;"-"&amp;RIGHT(YEAR(J9),2))&amp;" "</f>
        <v xml:space="preserve"> </v>
      </c>
      <c r="K6" s="71" t="str">
        <f t="shared" si="0"/>
        <v xml:space="preserve"> </v>
      </c>
      <c r="L6" s="71" t="str">
        <f t="shared" si="0"/>
        <v xml:space="preserve"> </v>
      </c>
      <c r="M6" s="71" t="str">
        <f t="shared" si="0"/>
        <v xml:space="preserve"> </v>
      </c>
      <c r="N6" s="71" t="str">
        <f t="shared" si="0"/>
        <v xml:space="preserve"> </v>
      </c>
      <c r="O6" s="71" t="str">
        <f t="shared" si="0"/>
        <v xml:space="preserve"> </v>
      </c>
      <c r="P6" s="71" t="str">
        <f t="shared" si="0"/>
        <v xml:space="preserve"> </v>
      </c>
      <c r="Q6" s="71" t="str">
        <f t="shared" si="0"/>
        <v xml:space="preserve"> </v>
      </c>
    </row>
    <row r="7" spans="1:17">
      <c r="B7" s="72" t="str">
        <f>IF(TS_Pers_In_Yr=1,Yr_Name&amp;" Ending "&amp;DAY(TS_Per_1_End_Date)&amp;" "&amp;INDEX(LU_Mth_Names,DD_TS_Fin_YE_Mth),TS_Per_Type_Name)</f>
        <v>Year Ending 31 December</v>
      </c>
      <c r="C7" s="73"/>
      <c r="D7" s="73"/>
      <c r="E7" s="73"/>
      <c r="F7" s="73"/>
      <c r="G7" s="73"/>
      <c r="H7" s="73"/>
      <c r="I7" s="73"/>
      <c r="J7" s="74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74" t="str">
        <f t="shared" si="1"/>
        <v xml:space="preserve">2011 (F) </v>
      </c>
      <c r="L7" s="74" t="str">
        <f t="shared" si="1"/>
        <v xml:space="preserve">2012 (F) </v>
      </c>
      <c r="M7" s="74" t="str">
        <f t="shared" si="1"/>
        <v xml:space="preserve">2013 (F) </v>
      </c>
      <c r="N7" s="74" t="str">
        <f t="shared" si="1"/>
        <v xml:space="preserve">2014 (F) </v>
      </c>
      <c r="O7" s="74" t="str">
        <f t="shared" si="1"/>
        <v xml:space="preserve">2015 (F) </v>
      </c>
      <c r="P7" s="74" t="str">
        <f t="shared" si="1"/>
        <v xml:space="preserve">2016 (F) </v>
      </c>
      <c r="Q7" s="74" t="str">
        <f t="shared" si="1"/>
        <v xml:space="preserve">2017 (F) </v>
      </c>
    </row>
    <row r="8" spans="1:17" hidden="1" outlineLevel="2">
      <c r="B8" s="65" t="s">
        <v>106</v>
      </c>
      <c r="J8" s="75">
        <f t="shared" ref="J8:Q8" si="2">IF(J12=1,TS_Start_Date,I9+1)</f>
        <v>40179</v>
      </c>
      <c r="K8" s="75">
        <f t="shared" si="2"/>
        <v>40544</v>
      </c>
      <c r="L8" s="75">
        <f t="shared" si="2"/>
        <v>40909</v>
      </c>
      <c r="M8" s="75">
        <f t="shared" si="2"/>
        <v>41275</v>
      </c>
      <c r="N8" s="75">
        <f t="shared" si="2"/>
        <v>41640</v>
      </c>
      <c r="O8" s="75">
        <f t="shared" si="2"/>
        <v>42005</v>
      </c>
      <c r="P8" s="75">
        <f t="shared" si="2"/>
        <v>42370</v>
      </c>
      <c r="Q8" s="75">
        <f t="shared" si="2"/>
        <v>42736</v>
      </c>
    </row>
    <row r="9" spans="1:17" hidden="1" outlineLevel="2">
      <c r="B9" s="65" t="s">
        <v>107</v>
      </c>
      <c r="J9" s="75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75">
        <f t="shared" si="3"/>
        <v>40908</v>
      </c>
      <c r="L9" s="75">
        <f t="shared" si="3"/>
        <v>41274</v>
      </c>
      <c r="M9" s="75">
        <f t="shared" si="3"/>
        <v>41639</v>
      </c>
      <c r="N9" s="75">
        <f t="shared" si="3"/>
        <v>42004</v>
      </c>
      <c r="O9" s="75">
        <f t="shared" si="3"/>
        <v>42369</v>
      </c>
      <c r="P9" s="75">
        <f t="shared" si="3"/>
        <v>42735</v>
      </c>
      <c r="Q9" s="75">
        <f t="shared" si="3"/>
        <v>43100</v>
      </c>
    </row>
    <row r="10" spans="1:17" hidden="1" outlineLevel="2">
      <c r="B10" s="65" t="s">
        <v>108</v>
      </c>
      <c r="J10" s="76">
        <f t="shared" ref="J10:Q10" si="4">YEAR(TS_Per_1_FY_End_Date)+INT((TS_Per_1_Number+J12-2)/TS_Pers_In_Yr)</f>
        <v>2010</v>
      </c>
      <c r="K10" s="76">
        <f t="shared" si="4"/>
        <v>2011</v>
      </c>
      <c r="L10" s="76">
        <f t="shared" si="4"/>
        <v>2012</v>
      </c>
      <c r="M10" s="76">
        <f t="shared" si="4"/>
        <v>2013</v>
      </c>
      <c r="N10" s="76">
        <f t="shared" si="4"/>
        <v>2014</v>
      </c>
      <c r="O10" s="76">
        <f t="shared" si="4"/>
        <v>2015</v>
      </c>
      <c r="P10" s="76">
        <f t="shared" si="4"/>
        <v>2016</v>
      </c>
      <c r="Q10" s="76">
        <f t="shared" si="4"/>
        <v>2017</v>
      </c>
    </row>
    <row r="11" spans="1:17" hidden="1" outlineLevel="2">
      <c r="B11" s="65" t="s">
        <v>109</v>
      </c>
      <c r="J11" s="77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77" t="str">
        <f t="shared" si="5"/>
        <v xml:space="preserve">Year </v>
      </c>
      <c r="L11" s="77" t="str">
        <f t="shared" si="5"/>
        <v xml:space="preserve">Year </v>
      </c>
      <c r="M11" s="77" t="str">
        <f t="shared" si="5"/>
        <v xml:space="preserve">Year </v>
      </c>
      <c r="N11" s="77" t="str">
        <f t="shared" si="5"/>
        <v xml:space="preserve">Year </v>
      </c>
      <c r="O11" s="77" t="str">
        <f t="shared" si="5"/>
        <v xml:space="preserve">Year </v>
      </c>
      <c r="P11" s="77" t="str">
        <f t="shared" si="5"/>
        <v xml:space="preserve">Year </v>
      </c>
      <c r="Q11" s="77" t="str">
        <f t="shared" si="5"/>
        <v xml:space="preserve">Year </v>
      </c>
    </row>
    <row r="12" spans="1:17" hidden="1" outlineLevel="2">
      <c r="B12" s="65" t="s">
        <v>110</v>
      </c>
      <c r="J12" s="78">
        <f>COLUMN(J12)-COLUMN($J12)+1</f>
        <v>1</v>
      </c>
      <c r="K12" s="78">
        <f t="shared" ref="K12:Q12" si="6">COLUMN(K12)-COLUMN($J12)+1</f>
        <v>2</v>
      </c>
      <c r="L12" s="78">
        <f t="shared" si="6"/>
        <v>3</v>
      </c>
      <c r="M12" s="78">
        <f t="shared" si="6"/>
        <v>4</v>
      </c>
      <c r="N12" s="78">
        <f t="shared" si="6"/>
        <v>5</v>
      </c>
      <c r="O12" s="78">
        <f t="shared" si="6"/>
        <v>6</v>
      </c>
      <c r="P12" s="78">
        <f t="shared" si="6"/>
        <v>7</v>
      </c>
      <c r="Q12" s="78">
        <f t="shared" si="6"/>
        <v>8</v>
      </c>
    </row>
    <row r="13" spans="1:17" hidden="1" outlineLevel="2">
      <c r="B13" s="79" t="s">
        <v>111</v>
      </c>
      <c r="C13" s="73"/>
      <c r="D13" s="73"/>
      <c r="E13" s="73"/>
      <c r="F13" s="73"/>
      <c r="G13" s="73"/>
      <c r="H13" s="73"/>
      <c r="I13" s="73"/>
      <c r="J13" s="80" t="str">
        <f>J10&amp;"-"&amp;J11</f>
        <v xml:space="preserve">2010-Year </v>
      </c>
      <c r="K13" s="80" t="str">
        <f t="shared" ref="K13:Q13" si="7">K10&amp;"-"&amp;K11</f>
        <v xml:space="preserve">2011-Year </v>
      </c>
      <c r="L13" s="80" t="str">
        <f t="shared" si="7"/>
        <v xml:space="preserve">2012-Year </v>
      </c>
      <c r="M13" s="80" t="str">
        <f t="shared" si="7"/>
        <v xml:space="preserve">2013-Year </v>
      </c>
      <c r="N13" s="80" t="str">
        <f t="shared" si="7"/>
        <v xml:space="preserve">2014-Year </v>
      </c>
      <c r="O13" s="80" t="str">
        <f t="shared" si="7"/>
        <v xml:space="preserve">2015-Year </v>
      </c>
      <c r="P13" s="80" t="str">
        <f t="shared" si="7"/>
        <v xml:space="preserve">2016-Year </v>
      </c>
      <c r="Q13" s="80" t="str">
        <f t="shared" si="7"/>
        <v xml:space="preserve">2017-Year </v>
      </c>
    </row>
    <row r="14" spans="1:17" collapsed="1"/>
    <row r="16" spans="1:17" ht="12.75" customHeight="1">
      <c r="B16" s="81" t="s">
        <v>112</v>
      </c>
    </row>
    <row r="17" spans="2:17" ht="11.25" thickBot="1">
      <c r="J17" s="82" t="s">
        <v>113</v>
      </c>
      <c r="K17" s="83" t="s">
        <v>114</v>
      </c>
    </row>
    <row r="18" spans="2:17">
      <c r="C18" s="84" t="s">
        <v>115</v>
      </c>
      <c r="J18" s="85">
        <v>125</v>
      </c>
      <c r="K18" s="86">
        <v>2.5000000000000001E-2</v>
      </c>
      <c r="L18" s="87">
        <v>2.5000000000000001E-2</v>
      </c>
      <c r="M18" s="87">
        <v>2.5000000000000001E-2</v>
      </c>
      <c r="N18" s="87">
        <v>2.5000000000000001E-2</v>
      </c>
      <c r="O18" s="87">
        <v>2.5000000000000001E-2</v>
      </c>
      <c r="P18" s="87">
        <v>2.5000000000000001E-2</v>
      </c>
      <c r="Q18" s="87">
        <v>2.5000000000000001E-2</v>
      </c>
    </row>
    <row r="19" spans="2:17">
      <c r="C19" s="84" t="s">
        <v>116</v>
      </c>
      <c r="J19" s="85">
        <v>25</v>
      </c>
      <c r="K19" s="86">
        <v>2.5000000000000001E-2</v>
      </c>
      <c r="L19" s="87">
        <v>2.5000000000000001E-2</v>
      </c>
      <c r="M19" s="87">
        <v>2.5000000000000001E-2</v>
      </c>
      <c r="N19" s="87">
        <v>2.5000000000000001E-2</v>
      </c>
      <c r="O19" s="87">
        <v>2.5000000000000001E-2</v>
      </c>
      <c r="P19" s="87">
        <v>2.5000000000000001E-2</v>
      </c>
      <c r="Q19" s="87">
        <v>2.5000000000000001E-2</v>
      </c>
    </row>
    <row r="20" spans="2:17">
      <c r="C20" s="84" t="s">
        <v>117</v>
      </c>
      <c r="J20" s="85">
        <v>40</v>
      </c>
      <c r="K20" s="86">
        <v>2.5000000000000001E-2</v>
      </c>
      <c r="L20" s="87">
        <v>2.5000000000000001E-2</v>
      </c>
      <c r="M20" s="87">
        <v>2.5000000000000001E-2</v>
      </c>
      <c r="N20" s="87">
        <v>2.5000000000000001E-2</v>
      </c>
      <c r="O20" s="87">
        <v>2.5000000000000001E-2</v>
      </c>
      <c r="P20" s="87">
        <v>2.5000000000000001E-2</v>
      </c>
      <c r="Q20" s="87">
        <v>2.5000000000000001E-2</v>
      </c>
    </row>
    <row r="21" spans="2:17">
      <c r="C21" s="84" t="s">
        <v>118</v>
      </c>
      <c r="J21" s="85">
        <v>15</v>
      </c>
      <c r="K21" s="86">
        <v>2.5000000000000001E-2</v>
      </c>
      <c r="L21" s="87">
        <v>2.5000000000000001E-2</v>
      </c>
      <c r="M21" s="87">
        <v>2.5000000000000001E-2</v>
      </c>
      <c r="N21" s="87">
        <v>2.5000000000000001E-2</v>
      </c>
      <c r="O21" s="87">
        <v>2.5000000000000001E-2</v>
      </c>
      <c r="P21" s="87">
        <v>2.5000000000000001E-2</v>
      </c>
      <c r="Q21" s="87">
        <v>2.5000000000000001E-2</v>
      </c>
    </row>
    <row r="22" spans="2:17">
      <c r="C22" s="84" t="s">
        <v>119</v>
      </c>
      <c r="J22" s="85">
        <v>2.5</v>
      </c>
      <c r="K22" s="86">
        <v>2.5000000000000001E-2</v>
      </c>
      <c r="L22" s="87">
        <v>2.5000000000000001E-2</v>
      </c>
      <c r="M22" s="87">
        <v>2.5000000000000001E-2</v>
      </c>
      <c r="N22" s="87">
        <v>2.5000000000000001E-2</v>
      </c>
      <c r="O22" s="87">
        <v>2.5000000000000001E-2</v>
      </c>
      <c r="P22" s="87">
        <v>2.5000000000000001E-2</v>
      </c>
      <c r="Q22" s="87">
        <v>2.5000000000000001E-2</v>
      </c>
    </row>
    <row r="24" spans="2:17">
      <c r="C24" s="88" t="s">
        <v>30</v>
      </c>
    </row>
    <row r="25" spans="2:17">
      <c r="C25" s="89">
        <v>1</v>
      </c>
      <c r="D25" s="90" t="str">
        <f>"Revenue and expense base amount assumptions are specified in "&amp;INDEX(LU_Denom,DD_TS_Denom)&amp;"."</f>
        <v>Revenue and expense base amount assumptions are specified in $Millions.</v>
      </c>
    </row>
    <row r="26" spans="2:17">
      <c r="C26" s="89">
        <v>2</v>
      </c>
      <c r="D26" s="84" t="s">
        <v>120</v>
      </c>
    </row>
    <row r="29" spans="2:17" ht="12.75">
      <c r="B29" s="81" t="s">
        <v>121</v>
      </c>
    </row>
    <row r="30" spans="2:17" ht="11.25" thickBot="1">
      <c r="I30" s="82" t="s">
        <v>122</v>
      </c>
      <c r="J30" s="88" t="s">
        <v>123</v>
      </c>
    </row>
    <row r="31" spans="2:17">
      <c r="C31" s="84" t="s">
        <v>124</v>
      </c>
      <c r="I31" s="85">
        <v>21</v>
      </c>
      <c r="J31" s="91">
        <v>30</v>
      </c>
      <c r="K31" s="91">
        <v>30</v>
      </c>
      <c r="L31" s="91">
        <v>30</v>
      </c>
      <c r="M31" s="91">
        <v>30</v>
      </c>
      <c r="N31" s="91">
        <v>30</v>
      </c>
      <c r="O31" s="91">
        <v>30</v>
      </c>
      <c r="P31" s="91">
        <v>30</v>
      </c>
      <c r="Q31" s="91">
        <v>30</v>
      </c>
    </row>
    <row r="32" spans="2:17">
      <c r="C32" s="84" t="s">
        <v>125</v>
      </c>
      <c r="I32" s="85">
        <v>16</v>
      </c>
      <c r="J32" s="91">
        <v>45</v>
      </c>
      <c r="K32" s="91">
        <v>45</v>
      </c>
      <c r="L32" s="91">
        <v>45</v>
      </c>
      <c r="M32" s="91">
        <v>45</v>
      </c>
      <c r="N32" s="91">
        <v>45</v>
      </c>
      <c r="O32" s="91">
        <v>45</v>
      </c>
      <c r="P32" s="91">
        <v>45</v>
      </c>
      <c r="Q32" s="91">
        <v>45</v>
      </c>
    </row>
    <row r="34" spans="2:17">
      <c r="C34" s="84" t="s">
        <v>126</v>
      </c>
      <c r="I34" s="92">
        <f>IF(ISERROR(SUM(J34:Q34)),1,MIN(SUM(J34:Q34),1))</f>
        <v>0</v>
      </c>
      <c r="J34" s="93">
        <f>IF(ISERROR(SUM(J31:J32)),1,IF(MAX(J31:J32)&gt;J$9-J$8+1,1,0))</f>
        <v>0</v>
      </c>
      <c r="K34" s="93">
        <f t="shared" ref="K34:Q34" si="8">IF(ISERROR(SUM(K31:K32)),1,IF(MAX(K31:K32)&gt;K$9-K$8+1,1,0))</f>
        <v>0</v>
      </c>
      <c r="L34" s="93">
        <f t="shared" si="8"/>
        <v>0</v>
      </c>
      <c r="M34" s="93">
        <f t="shared" si="8"/>
        <v>0</v>
      </c>
      <c r="N34" s="93">
        <f t="shared" si="8"/>
        <v>0</v>
      </c>
      <c r="O34" s="93">
        <f t="shared" si="8"/>
        <v>0</v>
      </c>
      <c r="P34" s="93">
        <f t="shared" si="8"/>
        <v>0</v>
      </c>
      <c r="Q34" s="93">
        <f t="shared" si="8"/>
        <v>0</v>
      </c>
    </row>
    <row r="36" spans="2:17">
      <c r="C36" s="88" t="s">
        <v>30</v>
      </c>
    </row>
    <row r="37" spans="2:17">
      <c r="C37" s="89">
        <v>1</v>
      </c>
      <c r="D37" s="90" t="str">
        <f>"Opening balance assumptions are specified in "&amp;INDEX(LU_Denom,DD_TS_Denom)&amp;"."</f>
        <v>Opening balance assumptions are specified in $Millions.</v>
      </c>
    </row>
    <row r="38" spans="2:17">
      <c r="C38" s="89">
        <v>2</v>
      </c>
      <c r="D38" s="84" t="s">
        <v>127</v>
      </c>
    </row>
    <row r="41" spans="2:17" ht="12.75">
      <c r="B41" s="81" t="s">
        <v>128</v>
      </c>
    </row>
    <row r="42" spans="2:17" ht="11.25" thickBot="1">
      <c r="I42" s="82" t="s">
        <v>122</v>
      </c>
      <c r="J42" s="83" t="s">
        <v>129</v>
      </c>
    </row>
    <row r="43" spans="2:17">
      <c r="C43" s="84" t="s">
        <v>47</v>
      </c>
      <c r="I43" s="85">
        <v>145</v>
      </c>
      <c r="J43" s="86">
        <v>0.9</v>
      </c>
      <c r="K43" s="87">
        <v>0.9</v>
      </c>
      <c r="L43" s="87">
        <v>0.9</v>
      </c>
      <c r="M43" s="87">
        <v>0.9</v>
      </c>
      <c r="N43" s="87">
        <v>0.9</v>
      </c>
      <c r="O43" s="87">
        <v>0.9</v>
      </c>
      <c r="P43" s="87">
        <v>0.9</v>
      </c>
      <c r="Q43" s="87">
        <v>0.9</v>
      </c>
    </row>
    <row r="44" spans="2:17">
      <c r="C44" s="84" t="s">
        <v>130</v>
      </c>
      <c r="I44" s="85">
        <v>11.5</v>
      </c>
      <c r="J44" s="86">
        <v>0.25</v>
      </c>
      <c r="K44" s="86">
        <v>0.25</v>
      </c>
      <c r="L44" s="86">
        <v>0.25</v>
      </c>
      <c r="M44" s="86">
        <v>0.25</v>
      </c>
      <c r="N44" s="86">
        <v>0.25</v>
      </c>
      <c r="O44" s="86">
        <v>0.25</v>
      </c>
      <c r="P44" s="86">
        <v>0.25</v>
      </c>
      <c r="Q44" s="86">
        <v>0.25</v>
      </c>
    </row>
    <row r="46" spans="2:17">
      <c r="C46" s="88" t="s">
        <v>30</v>
      </c>
    </row>
    <row r="47" spans="2:17">
      <c r="C47" s="89">
        <v>1</v>
      </c>
      <c r="D47" s="90" t="str">
        <f>"Opening balance assumptions are specified in "&amp;INDEX(LU_Denom,DD_TS_Denom)&amp;"."</f>
        <v>Opening balance assumptions are specified in $Millions.</v>
      </c>
    </row>
  </sheetData>
  <mergeCells count="1">
    <mergeCell ref="B3:F3"/>
  </mergeCells>
  <conditionalFormatting sqref="I34:Q34">
    <cfRule type="cellIs" dxfId="31" priority="1" stopIfTrue="1" operator="notEqual">
      <formula>0</formula>
    </cfRule>
  </conditionalFormatting>
  <dataValidations count="4">
    <dataValidation type="decimal" operator="greaterThanOrEqual" allowBlank="1" showDropDown="1" showErrorMessage="1" errorTitle="Invalid Assumption" error="Assumption must be a value greater than or equal to zero." sqref="J31:Q32">
      <formula1>0</formula1>
    </dataValidation>
    <dataValidation type="custom" showErrorMessage="1" errorTitle="Invalid Assumption" error="Assumption must be a number." sqref="J43:Q44 K18:Q22">
      <formula1>NOT(ISERROR(J18/1))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Opening Balance" prompt="Opening balance as at the model start date." sqref="I31:I32 I43:I44">
      <formula1>0</formula1>
    </dataValidation>
    <dataValidation type="decimal" operator="greaterThanOrEqual" allowBlank="1" showDropDown="1" showInputMessage="1" showErrorMessage="1" errorTitle="Invalid Assumption" error="Assumption must be a value greater than or equal to zero." promptTitle="Base Amount" prompt="The revenue or expense amount in the first time series period." sqref="J18:J22">
      <formula1>0</formula1>
    </dataValidation>
  </dataValidations>
  <hyperlinks>
    <hyperlink ref="B3" location="HL_Home" tooltip="Go to Table of Contents" display="HL_Home"/>
    <hyperlink ref="A4" location="$B$14" tooltip="Go to Top of Sheet" display="$B$14"/>
    <hyperlink ref="B4" location="HL_Sheet_Main_5" tooltip="Go to Previous Sheet" display="HL_Sheet_Main_5"/>
    <hyperlink ref="C4" location="HL_Sheet_Main_16" tooltip="Go to Next Sheet" display="HL_Sheet_Main_16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83" right="0.39370078740157483" top="0.59055118110236227" bottom="0.98425196850393704" header="0" footer="0.31496062992125984"/>
  <pageSetup paperSize="9" orientation="landscape" horizontalDpi="300" verticalDpi="300" r:id="rId1"/>
  <headerFooter>
    <oddFooter>&amp;L&amp;F
&amp;A
Printed: &amp;T on &amp;D&amp;CPage &amp;P of &amp;N&amp;R&amp;G</oddFooter>
  </headerFooter>
  <legacy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style="2" customWidth="1"/>
    <col min="3" max="6" width="3.83203125" style="2" customWidth="1"/>
    <col min="7" max="256" width="11.83203125" style="2" customWidth="1"/>
    <col min="257" max="16384" width="9.33203125" style="2"/>
  </cols>
  <sheetData>
    <row r="9" spans="3:7" ht="18">
      <c r="C9" s="1" t="s">
        <v>131</v>
      </c>
    </row>
    <row r="10" spans="3:7" ht="16.5">
      <c r="C10" s="21" t="s">
        <v>132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26</v>
      </c>
    </row>
    <row r="18" spans="3:3">
      <c r="C18" s="24" t="s">
        <v>133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12" tooltip="Go to Previous Sheet" display="HL_Sheet_Main_12"/>
    <hyperlink ref="D13" location="HL_Sheet_Main_15" tooltip="Go to Next Sheet" display="HL_Sheet_Main_15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1" max="2" width="11.83203125" style="2"/>
    <col min="3" max="6" width="3.83203125" style="2" customWidth="1"/>
    <col min="7" max="16384" width="11.83203125" style="2"/>
  </cols>
  <sheetData>
    <row r="9" spans="3:7" ht="18">
      <c r="C9" s="1" t="s">
        <v>134</v>
      </c>
    </row>
    <row r="10" spans="3:7" ht="16.5">
      <c r="C10" s="21" t="s">
        <v>135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56</v>
      </c>
    </row>
    <row r="18" spans="3:3">
      <c r="C18" s="24" t="s">
        <v>136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16" tooltip="Go to Previous Sheet" display="HL_Sheet_Main_16"/>
    <hyperlink ref="D13" location="HL_Sheet_Main_17" tooltip="Go to Next Sheet" display="HL_Sheet_Main_17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>
    <pageSetUpPr autoPageBreaks="0"/>
  </sheetPr>
  <dimension ref="A1:Q86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style="2" customWidth="1"/>
    <col min="6" max="254" width="11.83203125" style="2" customWidth="1"/>
    <col min="255" max="16384" width="9.33203125" style="2"/>
  </cols>
  <sheetData>
    <row r="1" spans="1:17" ht="18">
      <c r="B1" s="1" t="s">
        <v>131</v>
      </c>
    </row>
    <row r="2" spans="1:17" ht="15">
      <c r="B2" s="8" t="str">
        <f>Model_Name</f>
        <v>SMA 13. Multiple Workbooks - Best Practice Model Example 2</v>
      </c>
    </row>
    <row r="3" spans="1:17">
      <c r="B3" s="150" t="s">
        <v>1</v>
      </c>
      <c r="C3" s="150"/>
      <c r="D3" s="150"/>
      <c r="E3" s="150"/>
      <c r="F3" s="150"/>
    </row>
    <row r="4" spans="1:17" ht="12.75">
      <c r="A4" s="94" t="s">
        <v>10</v>
      </c>
      <c r="B4" s="22" t="s">
        <v>24</v>
      </c>
      <c r="C4" s="23" t="s">
        <v>25</v>
      </c>
      <c r="D4" s="95" t="s">
        <v>36</v>
      </c>
      <c r="E4" s="95" t="s">
        <v>37</v>
      </c>
      <c r="F4" s="96" t="s">
        <v>38</v>
      </c>
    </row>
    <row r="6" spans="1:17">
      <c r="B6" s="97" t="str">
        <f>IF(TS_Pers_In_Yr=1,"",TS_Per_Type_Name&amp;" Ending")</f>
        <v/>
      </c>
      <c r="J6" s="98" t="str">
        <f t="shared" ref="J6:Q6" si="0">IF(TS_Pers_In_Yr=1,"",LEFT(INDEX(LU_Mth_Names,MONTH(J9)),3)&amp;"-"&amp;RIGHT(YEAR(J9),2))&amp;" "</f>
        <v xml:space="preserve"> </v>
      </c>
      <c r="K6" s="98" t="str">
        <f t="shared" si="0"/>
        <v xml:space="preserve"> </v>
      </c>
      <c r="L6" s="98" t="str">
        <f t="shared" si="0"/>
        <v xml:space="preserve"> </v>
      </c>
      <c r="M6" s="98" t="str">
        <f t="shared" si="0"/>
        <v xml:space="preserve"> </v>
      </c>
      <c r="N6" s="98" t="str">
        <f t="shared" si="0"/>
        <v xml:space="preserve"> </v>
      </c>
      <c r="O6" s="98" t="str">
        <f t="shared" si="0"/>
        <v xml:space="preserve"> </v>
      </c>
      <c r="P6" s="98" t="str">
        <f t="shared" si="0"/>
        <v xml:space="preserve"> </v>
      </c>
      <c r="Q6" s="98" t="str">
        <f t="shared" si="0"/>
        <v xml:space="preserve"> </v>
      </c>
    </row>
    <row r="7" spans="1:17">
      <c r="B7" s="99" t="str">
        <f>IF(TS_Pers_In_Yr=1,Yr_Name&amp;" Ending "&amp;DAY(TS_Per_1_End_Date)&amp;" "&amp;INDEX(LU_Mth_Names,DD_TS_Fin_YE_Mth),TS_Per_Type_Name)</f>
        <v>Year Ending 31 December</v>
      </c>
      <c r="C7" s="12"/>
      <c r="D7" s="12"/>
      <c r="E7" s="12"/>
      <c r="F7" s="12"/>
      <c r="G7" s="12"/>
      <c r="H7" s="12"/>
      <c r="I7" s="12"/>
      <c r="J7" s="100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100" t="str">
        <f t="shared" si="1"/>
        <v xml:space="preserve">2011 (F) </v>
      </c>
      <c r="L7" s="100" t="str">
        <f t="shared" si="1"/>
        <v xml:space="preserve">2012 (F) </v>
      </c>
      <c r="M7" s="100" t="str">
        <f t="shared" si="1"/>
        <v xml:space="preserve">2013 (F) </v>
      </c>
      <c r="N7" s="100" t="str">
        <f t="shared" si="1"/>
        <v xml:space="preserve">2014 (F) </v>
      </c>
      <c r="O7" s="100" t="str">
        <f t="shared" si="1"/>
        <v xml:space="preserve">2015 (F) </v>
      </c>
      <c r="P7" s="100" t="str">
        <f t="shared" si="1"/>
        <v xml:space="preserve">2016 (F) </v>
      </c>
      <c r="Q7" s="100" t="str">
        <f t="shared" si="1"/>
        <v xml:space="preserve">2017 (F) </v>
      </c>
    </row>
    <row r="8" spans="1:17" hidden="1" outlineLevel="2">
      <c r="B8" s="24" t="s">
        <v>106</v>
      </c>
      <c r="J8" s="101">
        <f t="shared" ref="J8:Q8" si="2">IF(J12=1,TS_Start_Date,I9+1)</f>
        <v>40179</v>
      </c>
      <c r="K8" s="101">
        <f t="shared" si="2"/>
        <v>40544</v>
      </c>
      <c r="L8" s="101">
        <f t="shared" si="2"/>
        <v>40909</v>
      </c>
      <c r="M8" s="101">
        <f t="shared" si="2"/>
        <v>41275</v>
      </c>
      <c r="N8" s="101">
        <f t="shared" si="2"/>
        <v>41640</v>
      </c>
      <c r="O8" s="101">
        <f t="shared" si="2"/>
        <v>42005</v>
      </c>
      <c r="P8" s="101">
        <f t="shared" si="2"/>
        <v>42370</v>
      </c>
      <c r="Q8" s="101">
        <f t="shared" si="2"/>
        <v>42736</v>
      </c>
    </row>
    <row r="9" spans="1:17" hidden="1" outlineLevel="2">
      <c r="B9" s="24" t="s">
        <v>107</v>
      </c>
      <c r="J9" s="101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101">
        <f t="shared" si="3"/>
        <v>40908</v>
      </c>
      <c r="L9" s="101">
        <f t="shared" si="3"/>
        <v>41274</v>
      </c>
      <c r="M9" s="101">
        <f t="shared" si="3"/>
        <v>41639</v>
      </c>
      <c r="N9" s="101">
        <f t="shared" si="3"/>
        <v>42004</v>
      </c>
      <c r="O9" s="101">
        <f t="shared" si="3"/>
        <v>42369</v>
      </c>
      <c r="P9" s="101">
        <f t="shared" si="3"/>
        <v>42735</v>
      </c>
      <c r="Q9" s="101">
        <f t="shared" si="3"/>
        <v>43100</v>
      </c>
    </row>
    <row r="10" spans="1:17" hidden="1" outlineLevel="2">
      <c r="B10" s="24" t="s">
        <v>108</v>
      </c>
      <c r="J10" s="102">
        <f t="shared" ref="J10:Q10" si="4">YEAR(TS_Per_1_FY_End_Date)+INT((TS_Per_1_Number+J12-2)/TS_Pers_In_Yr)</f>
        <v>2010</v>
      </c>
      <c r="K10" s="102">
        <f t="shared" si="4"/>
        <v>2011</v>
      </c>
      <c r="L10" s="102">
        <f t="shared" si="4"/>
        <v>2012</v>
      </c>
      <c r="M10" s="102">
        <f t="shared" si="4"/>
        <v>2013</v>
      </c>
      <c r="N10" s="102">
        <f t="shared" si="4"/>
        <v>2014</v>
      </c>
      <c r="O10" s="102">
        <f t="shared" si="4"/>
        <v>2015</v>
      </c>
      <c r="P10" s="102">
        <f t="shared" si="4"/>
        <v>2016</v>
      </c>
      <c r="Q10" s="102">
        <f t="shared" si="4"/>
        <v>2017</v>
      </c>
    </row>
    <row r="11" spans="1:17" hidden="1" outlineLevel="2">
      <c r="B11" s="24" t="s">
        <v>109</v>
      </c>
      <c r="J11" s="103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103" t="str">
        <f t="shared" si="5"/>
        <v xml:space="preserve">Year </v>
      </c>
      <c r="L11" s="103" t="str">
        <f t="shared" si="5"/>
        <v xml:space="preserve">Year </v>
      </c>
      <c r="M11" s="103" t="str">
        <f t="shared" si="5"/>
        <v xml:space="preserve">Year </v>
      </c>
      <c r="N11" s="103" t="str">
        <f t="shared" si="5"/>
        <v xml:space="preserve">Year </v>
      </c>
      <c r="O11" s="103" t="str">
        <f t="shared" si="5"/>
        <v xml:space="preserve">Year </v>
      </c>
      <c r="P11" s="103" t="str">
        <f t="shared" si="5"/>
        <v xml:space="preserve">Year </v>
      </c>
      <c r="Q11" s="103" t="str">
        <f t="shared" si="5"/>
        <v xml:space="preserve">Year </v>
      </c>
    </row>
    <row r="12" spans="1:17" hidden="1" outlineLevel="2">
      <c r="B12" s="24" t="s">
        <v>110</v>
      </c>
      <c r="J12" s="104">
        <f>COLUMN(J12)-COLUMN($J12)+1</f>
        <v>1</v>
      </c>
      <c r="K12" s="104">
        <f t="shared" ref="K12:Q12" si="6">COLUMN(K12)-COLUMN($J12)+1</f>
        <v>2</v>
      </c>
      <c r="L12" s="104">
        <f t="shared" si="6"/>
        <v>3</v>
      </c>
      <c r="M12" s="104">
        <f t="shared" si="6"/>
        <v>4</v>
      </c>
      <c r="N12" s="104">
        <f t="shared" si="6"/>
        <v>5</v>
      </c>
      <c r="O12" s="104">
        <f t="shared" si="6"/>
        <v>6</v>
      </c>
      <c r="P12" s="104">
        <f t="shared" si="6"/>
        <v>7</v>
      </c>
      <c r="Q12" s="104">
        <f t="shared" si="6"/>
        <v>8</v>
      </c>
    </row>
    <row r="13" spans="1:17" hidden="1" outlineLevel="2">
      <c r="B13" s="105" t="s">
        <v>111</v>
      </c>
      <c r="C13" s="12"/>
      <c r="D13" s="12"/>
      <c r="E13" s="12"/>
      <c r="F13" s="12"/>
      <c r="G13" s="12"/>
      <c r="H13" s="12"/>
      <c r="I13" s="12"/>
      <c r="J13" s="106" t="str">
        <f>J10&amp;"-"&amp;J11</f>
        <v xml:space="preserve">2010-Year </v>
      </c>
      <c r="K13" s="106" t="str">
        <f t="shared" ref="K13:Q13" si="7">K10&amp;"-"&amp;K11</f>
        <v xml:space="preserve">2011-Year </v>
      </c>
      <c r="L13" s="106" t="str">
        <f t="shared" si="7"/>
        <v xml:space="preserve">2012-Year </v>
      </c>
      <c r="M13" s="106" t="str">
        <f t="shared" si="7"/>
        <v xml:space="preserve">2013-Year </v>
      </c>
      <c r="N13" s="106" t="str">
        <f t="shared" si="7"/>
        <v xml:space="preserve">2014-Year </v>
      </c>
      <c r="O13" s="106" t="str">
        <f t="shared" si="7"/>
        <v xml:space="preserve">2015-Year </v>
      </c>
      <c r="P13" s="106" t="str">
        <f t="shared" si="7"/>
        <v xml:space="preserve">2016-Year </v>
      </c>
      <c r="Q13" s="106" t="str">
        <f t="shared" si="7"/>
        <v xml:space="preserve">2017-Year </v>
      </c>
    </row>
    <row r="14" spans="1:17" collapsed="1"/>
    <row r="16" spans="1:17" ht="12.75">
      <c r="B16" s="107" t="s">
        <v>137</v>
      </c>
    </row>
    <row r="18" spans="2:17">
      <c r="C18" s="7" t="str">
        <f>Fcast_TA!C18</f>
        <v>Revenue</v>
      </c>
      <c r="J18" s="108">
        <f>IF(J$12=1,Fcast_TA!J18,I18*(1+Fcast_TA!J18))</f>
        <v>125</v>
      </c>
      <c r="K18" s="108">
        <f>IF(K$12=1,Fcast_TA!K18,J18*(1+Fcast_TA!K18))</f>
        <v>128.125</v>
      </c>
      <c r="L18" s="108">
        <f>IF(L$12=1,Fcast_TA!L18,K18*(1+Fcast_TA!L18))</f>
        <v>131.328125</v>
      </c>
      <c r="M18" s="108">
        <f>IF(M$12=1,Fcast_TA!M18,L18*(1+Fcast_TA!M18))</f>
        <v>134.611328125</v>
      </c>
      <c r="N18" s="108">
        <f>IF(N$12=1,Fcast_TA!N18,M18*(1+Fcast_TA!N18))</f>
        <v>137.97661132812499</v>
      </c>
      <c r="O18" s="108">
        <f>IF(O$12=1,Fcast_TA!O18,N18*(1+Fcast_TA!O18))</f>
        <v>141.4260266113281</v>
      </c>
      <c r="P18" s="108">
        <f>IF(P$12=1,Fcast_TA!P18,O18*(1+Fcast_TA!P18))</f>
        <v>144.96167727661128</v>
      </c>
      <c r="Q18" s="108">
        <f>IF(Q$12=1,Fcast_TA!Q18,P18*(1+Fcast_TA!Q18))</f>
        <v>148.58571920852654</v>
      </c>
    </row>
    <row r="19" spans="2:17">
      <c r="C19" s="7" t="str">
        <f>Fcast_TA!C19</f>
        <v>Cost of Goods Sold</v>
      </c>
      <c r="J19" s="108">
        <f>IF(J$12=1,Fcast_TA!J19,I19*(1+Fcast_TA!J19))</f>
        <v>25</v>
      </c>
      <c r="K19" s="108">
        <f>IF(K$12=1,Fcast_TA!K19,J19*(1+Fcast_TA!K19))</f>
        <v>25.624999999999996</v>
      </c>
      <c r="L19" s="108">
        <f>IF(L$12=1,Fcast_TA!L19,K19*(1+Fcast_TA!L19))</f>
        <v>26.265624999999993</v>
      </c>
      <c r="M19" s="108">
        <f>IF(M$12=1,Fcast_TA!M19,L19*(1+Fcast_TA!M19))</f>
        <v>26.922265624999991</v>
      </c>
      <c r="N19" s="108">
        <f>IF(N$12=1,Fcast_TA!N19,M19*(1+Fcast_TA!N19))</f>
        <v>27.59532226562499</v>
      </c>
      <c r="O19" s="108">
        <f>IF(O$12=1,Fcast_TA!O19,N19*(1+Fcast_TA!O19))</f>
        <v>28.285205322265611</v>
      </c>
      <c r="P19" s="108">
        <f>IF(P$12=1,Fcast_TA!P19,O19*(1+Fcast_TA!P19))</f>
        <v>28.992335455322248</v>
      </c>
      <c r="Q19" s="108">
        <f>IF(Q$12=1,Fcast_TA!Q19,P19*(1+Fcast_TA!Q19))</f>
        <v>29.717143841705301</v>
      </c>
    </row>
    <row r="20" spans="2:17">
      <c r="C20" s="7" t="str">
        <f>Fcast_TA!C20</f>
        <v>Operating Expenditure</v>
      </c>
      <c r="J20" s="108">
        <f>IF(J$12=1,Fcast_TA!J20,I20*(1+Fcast_TA!J20))</f>
        <v>40</v>
      </c>
      <c r="K20" s="108">
        <f>IF(K$12=1,Fcast_TA!K20,J20*(1+Fcast_TA!K20))</f>
        <v>41</v>
      </c>
      <c r="L20" s="108">
        <f>IF(L$12=1,Fcast_TA!L20,K20*(1+Fcast_TA!L20))</f>
        <v>42.024999999999999</v>
      </c>
      <c r="M20" s="108">
        <f>IF(M$12=1,Fcast_TA!M20,L20*(1+Fcast_TA!M20))</f>
        <v>43.075624999999995</v>
      </c>
      <c r="N20" s="108">
        <f>IF(N$12=1,Fcast_TA!N20,M20*(1+Fcast_TA!N20))</f>
        <v>44.152515624999992</v>
      </c>
      <c r="O20" s="108">
        <f>IF(O$12=1,Fcast_TA!O20,N20*(1+Fcast_TA!O20))</f>
        <v>45.256328515624986</v>
      </c>
      <c r="P20" s="108">
        <f>IF(P$12=1,Fcast_TA!P20,O20*(1+Fcast_TA!P20))</f>
        <v>46.387736728515605</v>
      </c>
      <c r="Q20" s="108">
        <f>IF(Q$12=1,Fcast_TA!Q20,P20*(1+Fcast_TA!Q20))</f>
        <v>47.547430146728495</v>
      </c>
    </row>
    <row r="21" spans="2:17">
      <c r="C21" s="7" t="str">
        <f>Fcast_TA!C21</f>
        <v>Capital Expenditure - Assets</v>
      </c>
      <c r="J21" s="108">
        <f>IF(J$12=1,Fcast_TA!J21,I21*(1+Fcast_TA!J21))</f>
        <v>15</v>
      </c>
      <c r="K21" s="108">
        <f>IF(K$12=1,Fcast_TA!K21,J21*(1+Fcast_TA!K21))</f>
        <v>15.374999999999998</v>
      </c>
      <c r="L21" s="108">
        <f>IF(L$12=1,Fcast_TA!L21,K21*(1+Fcast_TA!L21))</f>
        <v>15.759374999999997</v>
      </c>
      <c r="M21" s="108">
        <f>IF(M$12=1,Fcast_TA!M21,L21*(1+Fcast_TA!M21))</f>
        <v>16.153359374999994</v>
      </c>
      <c r="N21" s="108">
        <f>IF(N$12=1,Fcast_TA!N21,M21*(1+Fcast_TA!N21))</f>
        <v>16.557193359374992</v>
      </c>
      <c r="O21" s="108">
        <f>IF(O$12=1,Fcast_TA!O21,N21*(1+Fcast_TA!O21))</f>
        <v>16.971123193359364</v>
      </c>
      <c r="P21" s="108">
        <f>IF(P$12=1,Fcast_TA!P21,O21*(1+Fcast_TA!P21))</f>
        <v>17.395401273193347</v>
      </c>
      <c r="Q21" s="108">
        <f>IF(Q$12=1,Fcast_TA!Q21,P21*(1+Fcast_TA!Q21))</f>
        <v>17.830286305023179</v>
      </c>
    </row>
    <row r="22" spans="2:17">
      <c r="C22" s="7" t="str">
        <f>Fcast_TA!C22</f>
        <v>Capital Expenditure - Intangibles</v>
      </c>
      <c r="J22" s="108">
        <f>IF(J$12=1,Fcast_TA!J22,I22*(1+Fcast_TA!J22))</f>
        <v>2.5</v>
      </c>
      <c r="K22" s="108">
        <f>IF(K$12=1,Fcast_TA!K22,J22*(1+Fcast_TA!K22))</f>
        <v>2.5625</v>
      </c>
      <c r="L22" s="108">
        <f>IF(L$12=1,Fcast_TA!L22,K22*(1+Fcast_TA!L22))</f>
        <v>2.6265624999999999</v>
      </c>
      <c r="M22" s="108">
        <f>IF(M$12=1,Fcast_TA!M22,L22*(1+Fcast_TA!M22))</f>
        <v>2.6922265624999997</v>
      </c>
      <c r="N22" s="108">
        <f>IF(N$12=1,Fcast_TA!N22,M22*(1+Fcast_TA!N22))</f>
        <v>2.7595322265624995</v>
      </c>
      <c r="O22" s="108">
        <f>IF(O$12=1,Fcast_TA!O22,N22*(1+Fcast_TA!O22))</f>
        <v>2.8285205322265616</v>
      </c>
      <c r="P22" s="108">
        <f>IF(P$12=1,Fcast_TA!P22,O22*(1+Fcast_TA!P22))</f>
        <v>2.8992335455322253</v>
      </c>
      <c r="Q22" s="108">
        <f>IF(Q$12=1,Fcast_TA!Q22,P22*(1+Fcast_TA!Q22))</f>
        <v>2.9717143841705309</v>
      </c>
    </row>
    <row r="23" spans="2:17">
      <c r="C23" s="7"/>
      <c r="J23" s="108"/>
      <c r="K23" s="108"/>
      <c r="L23" s="108"/>
      <c r="M23" s="108"/>
      <c r="N23" s="108"/>
      <c r="O23" s="108"/>
      <c r="P23" s="108"/>
      <c r="Q23" s="108"/>
    </row>
    <row r="25" spans="2:17" ht="12.75">
      <c r="B25" s="107" t="s">
        <v>138</v>
      </c>
    </row>
    <row r="26" spans="2:17" ht="12.75">
      <c r="B26" s="109"/>
    </row>
    <row r="27" spans="2:17" ht="11.25">
      <c r="C27" s="110" t="str">
        <f>"Accounts Receivable Balances ("&amp;INDEX(LU_Denom,DD_TS_Denom)&amp;")"</f>
        <v>Accounts Receivable Balances ($Millions)</v>
      </c>
    </row>
    <row r="29" spans="2:17">
      <c r="D29" s="6" t="s">
        <v>139</v>
      </c>
      <c r="J29" s="108">
        <f>IF(J$12=1,Fcast_TA!$I$31,I33)</f>
        <v>21</v>
      </c>
      <c r="K29" s="108">
        <f>IF(K$12=1,Fcast_TA!$I$31,J33)</f>
        <v>10.273972602739725</v>
      </c>
      <c r="L29" s="108">
        <f>IF(L$12=1,Fcast_TA!$I$31,K33)</f>
        <v>10.530821917808218</v>
      </c>
      <c r="M29" s="108">
        <f>IF(M$12=1,Fcast_TA!$I$31,L33)</f>
        <v>10.764600409836065</v>
      </c>
      <c r="N29" s="108">
        <f>IF(N$12=1,Fcast_TA!$I$31,M33)</f>
        <v>11.063944777397261</v>
      </c>
      <c r="O29" s="108">
        <f>IF(O$12=1,Fcast_TA!$I$31,N33)</f>
        <v>11.340543396832192</v>
      </c>
      <c r="P29" s="108">
        <f>IF(P$12=1,Fcast_TA!$I$31,O33)</f>
        <v>11.624056981752995</v>
      </c>
      <c r="Q29" s="108">
        <f>IF(Q$12=1,Fcast_TA!$I$31,P33)</f>
        <v>11.882104694804204</v>
      </c>
    </row>
    <row r="30" spans="2:17">
      <c r="D30" s="7" t="str">
        <f>C18</f>
        <v>Revenue</v>
      </c>
      <c r="J30" s="108">
        <f>J18</f>
        <v>125</v>
      </c>
      <c r="K30" s="108">
        <f t="shared" ref="K30:Q30" si="8">K18</f>
        <v>128.125</v>
      </c>
      <c r="L30" s="108">
        <f t="shared" si="8"/>
        <v>131.328125</v>
      </c>
      <c r="M30" s="108">
        <f t="shared" si="8"/>
        <v>134.611328125</v>
      </c>
      <c r="N30" s="108">
        <f t="shared" si="8"/>
        <v>137.97661132812499</v>
      </c>
      <c r="O30" s="108">
        <f t="shared" si="8"/>
        <v>141.4260266113281</v>
      </c>
      <c r="P30" s="108">
        <f t="shared" si="8"/>
        <v>144.96167727661128</v>
      </c>
      <c r="Q30" s="108">
        <f t="shared" si="8"/>
        <v>148.58571920852654</v>
      </c>
    </row>
    <row r="31" spans="2:17" s="14" customFormat="1">
      <c r="D31" s="111" t="s">
        <v>140</v>
      </c>
      <c r="J31" s="112">
        <f t="shared" ref="J31:Q31" si="9">J33-SUM(J29:J30)</f>
        <v>-135.72602739726028</v>
      </c>
      <c r="K31" s="112">
        <f t="shared" si="9"/>
        <v>-127.86815068493149</v>
      </c>
      <c r="L31" s="112">
        <f t="shared" si="9"/>
        <v>-131.09434650797215</v>
      </c>
      <c r="M31" s="112">
        <f t="shared" si="9"/>
        <v>-134.31198375743881</v>
      </c>
      <c r="N31" s="112">
        <f t="shared" si="9"/>
        <v>-137.70001270869005</v>
      </c>
      <c r="O31" s="112">
        <f t="shared" si="9"/>
        <v>-141.1425130264073</v>
      </c>
      <c r="P31" s="112">
        <f t="shared" si="9"/>
        <v>-144.70362956356007</v>
      </c>
      <c r="Q31" s="112">
        <f t="shared" si="9"/>
        <v>-148.25529903687652</v>
      </c>
    </row>
    <row r="32" spans="2:17" hidden="1" outlineLevel="2">
      <c r="D32" s="113" t="s">
        <v>141</v>
      </c>
      <c r="J32" s="114">
        <f t="shared" ref="J32:Q32" si="10">SUM(J30:J31)</f>
        <v>-10.726027397260282</v>
      </c>
      <c r="K32" s="114">
        <f t="shared" si="10"/>
        <v>0.25684931506850717</v>
      </c>
      <c r="L32" s="114">
        <f t="shared" si="10"/>
        <v>0.23377849202785228</v>
      </c>
      <c r="M32" s="114">
        <f t="shared" si="10"/>
        <v>0.29934436756118998</v>
      </c>
      <c r="N32" s="114">
        <f t="shared" si="10"/>
        <v>0.27659861943493524</v>
      </c>
      <c r="O32" s="114">
        <f t="shared" si="10"/>
        <v>0.28351358492079726</v>
      </c>
      <c r="P32" s="114">
        <f t="shared" si="10"/>
        <v>0.25804771305121221</v>
      </c>
      <c r="Q32" s="114">
        <f t="shared" si="10"/>
        <v>0.3304201716500188</v>
      </c>
    </row>
    <row r="33" spans="3:17" collapsed="1">
      <c r="D33" s="115" t="s">
        <v>142</v>
      </c>
      <c r="J33" s="116">
        <f>J30*J36/(J$9-J$8+1)</f>
        <v>10.273972602739725</v>
      </c>
      <c r="K33" s="116">
        <f t="shared" ref="K33:Q33" si="11">K30*K36/(K$9-K$8+1)</f>
        <v>10.530821917808218</v>
      </c>
      <c r="L33" s="116">
        <f t="shared" si="11"/>
        <v>10.764600409836065</v>
      </c>
      <c r="M33" s="116">
        <f t="shared" si="11"/>
        <v>11.063944777397261</v>
      </c>
      <c r="N33" s="116">
        <f t="shared" si="11"/>
        <v>11.340543396832192</v>
      </c>
      <c r="O33" s="116">
        <f t="shared" si="11"/>
        <v>11.624056981752995</v>
      </c>
      <c r="P33" s="116">
        <f t="shared" si="11"/>
        <v>11.882104694804204</v>
      </c>
      <c r="Q33" s="116">
        <f t="shared" si="11"/>
        <v>12.212524866454237</v>
      </c>
    </row>
    <row r="35" spans="3:17">
      <c r="D35" s="117" t="str">
        <f>"Closing Balance Periodic Growth (% per "&amp;INDEX(LU_Period_Type_Names,MATCH(TS_Periodicity,LU_Periodicity))&amp;")"</f>
        <v>Closing Balance Periodic Growth (% per Year)</v>
      </c>
      <c r="K35" s="118">
        <f t="shared" ref="K35:Q35" si="12">IF(ISERROR(K33/J33),"N/A",
ROUND(K33/J33-1,5))</f>
        <v>2.5000000000000001E-2</v>
      </c>
      <c r="L35" s="118">
        <f t="shared" si="12"/>
        <v>2.2200000000000001E-2</v>
      </c>
      <c r="M35" s="118">
        <f t="shared" si="12"/>
        <v>2.7810000000000001E-2</v>
      </c>
      <c r="N35" s="118">
        <f t="shared" si="12"/>
        <v>2.5000000000000001E-2</v>
      </c>
      <c r="O35" s="118">
        <f t="shared" si="12"/>
        <v>2.5000000000000001E-2</v>
      </c>
      <c r="P35" s="118">
        <f t="shared" si="12"/>
        <v>2.2200000000000001E-2</v>
      </c>
      <c r="Q35" s="118">
        <f t="shared" si="12"/>
        <v>2.7810000000000001E-2</v>
      </c>
    </row>
    <row r="36" spans="3:17">
      <c r="D36" s="113" t="s">
        <v>143</v>
      </c>
      <c r="J36" s="119">
        <f>Fcast_TA!J31</f>
        <v>30</v>
      </c>
      <c r="K36" s="119">
        <f>Fcast_TA!K31</f>
        <v>30</v>
      </c>
      <c r="L36" s="119">
        <f>Fcast_TA!L31</f>
        <v>30</v>
      </c>
      <c r="M36" s="119">
        <f>Fcast_TA!M31</f>
        <v>30</v>
      </c>
      <c r="N36" s="119">
        <f>Fcast_TA!N31</f>
        <v>30</v>
      </c>
      <c r="O36" s="119">
        <f>Fcast_TA!O31</f>
        <v>30</v>
      </c>
      <c r="P36" s="119">
        <f>Fcast_TA!P31</f>
        <v>30</v>
      </c>
      <c r="Q36" s="119">
        <f>Fcast_TA!Q31</f>
        <v>30</v>
      </c>
    </row>
    <row r="38" spans="3:17" hidden="1" outlineLevel="2">
      <c r="E38" s="6" t="s">
        <v>144</v>
      </c>
      <c r="J38" s="120">
        <f t="shared" ref="J38:Q38" si="13">IF(ISERROR(J29+J32-J33),1,0)</f>
        <v>0</v>
      </c>
      <c r="K38" s="120">
        <f t="shared" si="13"/>
        <v>0</v>
      </c>
      <c r="L38" s="120">
        <f t="shared" si="13"/>
        <v>0</v>
      </c>
      <c r="M38" s="120">
        <f t="shared" si="13"/>
        <v>0</v>
      </c>
      <c r="N38" s="120">
        <f t="shared" si="13"/>
        <v>0</v>
      </c>
      <c r="O38" s="120">
        <f t="shared" si="13"/>
        <v>0</v>
      </c>
      <c r="P38" s="120">
        <f t="shared" si="13"/>
        <v>0</v>
      </c>
      <c r="Q38" s="120">
        <f t="shared" si="13"/>
        <v>0</v>
      </c>
    </row>
    <row r="39" spans="3:17" hidden="1" outlineLevel="2">
      <c r="E39" s="6" t="s">
        <v>145</v>
      </c>
      <c r="J39" s="121">
        <f t="shared" ref="J39:Q39" si="14">IF(J38&lt;&gt;0,0,(ROUND(J29+J32-J33,5)&lt;&gt;0)*1)</f>
        <v>0</v>
      </c>
      <c r="K39" s="121">
        <f t="shared" si="14"/>
        <v>0</v>
      </c>
      <c r="L39" s="121">
        <f t="shared" si="14"/>
        <v>0</v>
      </c>
      <c r="M39" s="121">
        <f t="shared" si="14"/>
        <v>0</v>
      </c>
      <c r="N39" s="121">
        <f t="shared" si="14"/>
        <v>0</v>
      </c>
      <c r="O39" s="121">
        <f t="shared" si="14"/>
        <v>0</v>
      </c>
      <c r="P39" s="121">
        <f t="shared" si="14"/>
        <v>0</v>
      </c>
      <c r="Q39" s="121">
        <f t="shared" si="14"/>
        <v>0</v>
      </c>
    </row>
    <row r="40" spans="3:17" hidden="1" outlineLevel="2">
      <c r="E40" s="6" t="s">
        <v>146</v>
      </c>
      <c r="J40" s="121">
        <f t="shared" ref="J40:Q40" si="15">IF(ISERROR(J31),0,(ROUND(MAX(J31),5)&gt;0)*1)</f>
        <v>0</v>
      </c>
      <c r="K40" s="121">
        <f t="shared" si="15"/>
        <v>0</v>
      </c>
      <c r="L40" s="121">
        <f t="shared" si="15"/>
        <v>0</v>
      </c>
      <c r="M40" s="121">
        <f t="shared" si="15"/>
        <v>0</v>
      </c>
      <c r="N40" s="121">
        <f t="shared" si="15"/>
        <v>0</v>
      </c>
      <c r="O40" s="121">
        <f t="shared" si="15"/>
        <v>0</v>
      </c>
      <c r="P40" s="121">
        <f t="shared" si="15"/>
        <v>0</v>
      </c>
      <c r="Q40" s="121">
        <f t="shared" si="15"/>
        <v>0</v>
      </c>
    </row>
    <row r="41" spans="3:17" hidden="1" outlineLevel="2">
      <c r="E41" s="6" t="s">
        <v>147</v>
      </c>
      <c r="J41" s="122">
        <f t="shared" ref="J41:Q41" si="16">IF(ISERROR(J33),0,(ROUND(MIN(J33),5)&lt;0)*1)</f>
        <v>0</v>
      </c>
      <c r="K41" s="122">
        <f t="shared" si="16"/>
        <v>0</v>
      </c>
      <c r="L41" s="122">
        <f t="shared" si="16"/>
        <v>0</v>
      </c>
      <c r="M41" s="122">
        <f t="shared" si="16"/>
        <v>0</v>
      </c>
      <c r="N41" s="122">
        <f t="shared" si="16"/>
        <v>0</v>
      </c>
      <c r="O41" s="122">
        <f t="shared" si="16"/>
        <v>0</v>
      </c>
      <c r="P41" s="122">
        <f t="shared" si="16"/>
        <v>0</v>
      </c>
      <c r="Q41" s="122">
        <f t="shared" si="16"/>
        <v>0</v>
      </c>
    </row>
    <row r="42" spans="3:17" collapsed="1">
      <c r="D42" s="6" t="s">
        <v>148</v>
      </c>
      <c r="I42" s="123">
        <f>IF(ISERROR(SUM(J42:Q42)),0,MIN(SUM(J42:Q42),1))</f>
        <v>0</v>
      </c>
      <c r="J42" s="120">
        <f t="shared" ref="J42:Q42" si="17">MIN(SUM(J38:J41),1)</f>
        <v>0</v>
      </c>
      <c r="K42" s="120">
        <f t="shared" si="17"/>
        <v>0</v>
      </c>
      <c r="L42" s="120">
        <f t="shared" si="17"/>
        <v>0</v>
      </c>
      <c r="M42" s="120">
        <f t="shared" si="17"/>
        <v>0</v>
      </c>
      <c r="N42" s="120">
        <f t="shared" si="17"/>
        <v>0</v>
      </c>
      <c r="O42" s="120">
        <f t="shared" si="17"/>
        <v>0</v>
      </c>
      <c r="P42" s="120">
        <f t="shared" si="17"/>
        <v>0</v>
      </c>
      <c r="Q42" s="120">
        <f t="shared" si="17"/>
        <v>0</v>
      </c>
    </row>
    <row r="44" spans="3:17" ht="11.25">
      <c r="C44" s="110" t="str">
        <f>"Accounts Payable Balances ("&amp;INDEX(LU_Denom,DD_TS_Denom)&amp;")"</f>
        <v>Accounts Payable Balances ($Millions)</v>
      </c>
    </row>
    <row r="45" spans="3:17" ht="11.25">
      <c r="C45" s="110"/>
    </row>
    <row r="46" spans="3:17">
      <c r="D46" s="6" t="s">
        <v>139</v>
      </c>
      <c r="J46" s="108">
        <f>IF(J$12=1,Fcast_TA!$I$32,I50)</f>
        <v>16</v>
      </c>
      <c r="K46" s="108">
        <f>IF(K$12=1,Fcast_TA!$I$32,J50)</f>
        <v>8.0136986301369859</v>
      </c>
      <c r="L46" s="108">
        <f>IF(L$12=1,Fcast_TA!$I$32,K50)</f>
        <v>8.2140410958904102</v>
      </c>
      <c r="M46" s="108">
        <f>IF(M$12=1,Fcast_TA!$I$32,L50)</f>
        <v>8.3963883196721305</v>
      </c>
      <c r="N46" s="108">
        <f>IF(N$12=1,Fcast_TA!$I$32,M50)</f>
        <v>8.629876926369862</v>
      </c>
      <c r="O46" s="108">
        <f>IF(O$12=1,Fcast_TA!$I$32,N50)</f>
        <v>8.8456238495291082</v>
      </c>
      <c r="P46" s="108">
        <f>IF(P$12=1,Fcast_TA!$I$32,O50)</f>
        <v>9.0667644457673351</v>
      </c>
      <c r="Q46" s="108">
        <f>IF(Q$12=1,Fcast_TA!$I$32,P50)</f>
        <v>9.2680416619472759</v>
      </c>
    </row>
    <row r="47" spans="3:17">
      <c r="D47" s="6" t="s">
        <v>149</v>
      </c>
      <c r="J47" s="108">
        <f>SUM(J19:J20)</f>
        <v>65</v>
      </c>
      <c r="K47" s="108">
        <f t="shared" ref="K47:Q47" si="18">SUM(K19:K20)</f>
        <v>66.625</v>
      </c>
      <c r="L47" s="108">
        <f t="shared" si="18"/>
        <v>68.290624999999991</v>
      </c>
      <c r="M47" s="108">
        <f t="shared" si="18"/>
        <v>69.997890624999982</v>
      </c>
      <c r="N47" s="108">
        <f t="shared" si="18"/>
        <v>71.747837890624979</v>
      </c>
      <c r="O47" s="108">
        <f t="shared" si="18"/>
        <v>73.541533837890597</v>
      </c>
      <c r="P47" s="108">
        <f t="shared" si="18"/>
        <v>75.380072183837854</v>
      </c>
      <c r="Q47" s="108">
        <f t="shared" si="18"/>
        <v>77.264573988433796</v>
      </c>
    </row>
    <row r="48" spans="3:17" s="14" customFormat="1">
      <c r="D48" s="111" t="s">
        <v>150</v>
      </c>
      <c r="J48" s="112">
        <f t="shared" ref="J48:Q48" si="19">J50-SUM(J46:J47)</f>
        <v>-72.986301369863014</v>
      </c>
      <c r="K48" s="112">
        <f t="shared" si="19"/>
        <v>-66.424657534246577</v>
      </c>
      <c r="L48" s="112">
        <f t="shared" si="19"/>
        <v>-68.108277776218273</v>
      </c>
      <c r="M48" s="112">
        <f t="shared" si="19"/>
        <v>-69.764402018302249</v>
      </c>
      <c r="N48" s="112">
        <f t="shared" si="19"/>
        <v>-71.532090967465734</v>
      </c>
      <c r="O48" s="112">
        <f t="shared" si="19"/>
        <v>-73.320393241652368</v>
      </c>
      <c r="P48" s="112">
        <f t="shared" si="19"/>
        <v>-75.178794967657907</v>
      </c>
      <c r="Q48" s="112">
        <f t="shared" si="19"/>
        <v>-77.006846254546772</v>
      </c>
    </row>
    <row r="49" spans="2:17" hidden="1" outlineLevel="2">
      <c r="D49" s="113" t="s">
        <v>151</v>
      </c>
      <c r="J49" s="114">
        <f t="shared" ref="J49:Q49" si="20">SUM(J47:J48)</f>
        <v>-7.9863013698630141</v>
      </c>
      <c r="K49" s="114">
        <f t="shared" si="20"/>
        <v>0.20034246575342252</v>
      </c>
      <c r="L49" s="114">
        <f t="shared" si="20"/>
        <v>0.18234722378171853</v>
      </c>
      <c r="M49" s="114">
        <f t="shared" si="20"/>
        <v>0.2334886066977333</v>
      </c>
      <c r="N49" s="114">
        <f t="shared" si="20"/>
        <v>0.21574692315924437</v>
      </c>
      <c r="O49" s="114">
        <f t="shared" si="20"/>
        <v>0.22114059623822868</v>
      </c>
      <c r="P49" s="114">
        <f t="shared" si="20"/>
        <v>0.20127721617994609</v>
      </c>
      <c r="Q49" s="114">
        <f t="shared" si="20"/>
        <v>0.25772773388702319</v>
      </c>
    </row>
    <row r="50" spans="2:17" collapsed="1">
      <c r="D50" s="115" t="s">
        <v>142</v>
      </c>
      <c r="J50" s="116">
        <f>J47*J53/(J$9-J$8+1)</f>
        <v>8.0136986301369859</v>
      </c>
      <c r="K50" s="116">
        <f t="shared" ref="K50:Q50" si="21">K47*K53/(K$9-K$8+1)</f>
        <v>8.2140410958904102</v>
      </c>
      <c r="L50" s="116">
        <f t="shared" si="21"/>
        <v>8.3963883196721305</v>
      </c>
      <c r="M50" s="116">
        <f t="shared" si="21"/>
        <v>8.629876926369862</v>
      </c>
      <c r="N50" s="116">
        <f t="shared" si="21"/>
        <v>8.8456238495291082</v>
      </c>
      <c r="O50" s="116">
        <f t="shared" si="21"/>
        <v>9.0667644457673351</v>
      </c>
      <c r="P50" s="116">
        <f t="shared" si="21"/>
        <v>9.2680416619472759</v>
      </c>
      <c r="Q50" s="116">
        <f t="shared" si="21"/>
        <v>9.5257693958343044</v>
      </c>
    </row>
    <row r="52" spans="2:17">
      <c r="D52" s="117" t="str">
        <f>"Closing Balance Periodic Growth (% per "&amp;INDEX(LU_Period_Type_Names,MATCH(TS_Periodicity,LU_Periodicity))&amp;")"</f>
        <v>Closing Balance Periodic Growth (% per Year)</v>
      </c>
      <c r="K52" s="118">
        <f t="shared" ref="K52:Q52" si="22">IF(ISERROR(K50/J50),"N/A",
ROUND(K50/J50-1,5))</f>
        <v>2.5000000000000001E-2</v>
      </c>
      <c r="L52" s="118">
        <f t="shared" si="22"/>
        <v>2.2200000000000001E-2</v>
      </c>
      <c r="M52" s="118">
        <f t="shared" si="22"/>
        <v>2.7810000000000001E-2</v>
      </c>
      <c r="N52" s="118">
        <f t="shared" si="22"/>
        <v>2.5000000000000001E-2</v>
      </c>
      <c r="O52" s="118">
        <f t="shared" si="22"/>
        <v>2.5000000000000001E-2</v>
      </c>
      <c r="P52" s="118">
        <f t="shared" si="22"/>
        <v>2.2200000000000001E-2</v>
      </c>
      <c r="Q52" s="118">
        <f t="shared" si="22"/>
        <v>2.7810000000000001E-2</v>
      </c>
    </row>
    <row r="53" spans="2:17">
      <c r="D53" s="113" t="s">
        <v>152</v>
      </c>
      <c r="J53" s="119">
        <f>Fcast_TA!J32</f>
        <v>45</v>
      </c>
      <c r="K53" s="119">
        <f>Fcast_TA!K32</f>
        <v>45</v>
      </c>
      <c r="L53" s="119">
        <f>Fcast_TA!L32</f>
        <v>45</v>
      </c>
      <c r="M53" s="119">
        <f>Fcast_TA!M32</f>
        <v>45</v>
      </c>
      <c r="N53" s="119">
        <f>Fcast_TA!N32</f>
        <v>45</v>
      </c>
      <c r="O53" s="119">
        <f>Fcast_TA!O32</f>
        <v>45</v>
      </c>
      <c r="P53" s="119">
        <f>Fcast_TA!P32</f>
        <v>45</v>
      </c>
      <c r="Q53" s="119">
        <f>Fcast_TA!Q32</f>
        <v>45</v>
      </c>
    </row>
    <row r="55" spans="2:17" hidden="1" outlineLevel="2">
      <c r="E55" s="6" t="s">
        <v>144</v>
      </c>
      <c r="J55" s="120">
        <f t="shared" ref="J55:Q55" si="23">IF(ISERROR(J46+J49-J50),1,0)</f>
        <v>0</v>
      </c>
      <c r="K55" s="120">
        <f t="shared" si="23"/>
        <v>0</v>
      </c>
      <c r="L55" s="120">
        <f t="shared" si="23"/>
        <v>0</v>
      </c>
      <c r="M55" s="120">
        <f t="shared" si="23"/>
        <v>0</v>
      </c>
      <c r="N55" s="120">
        <f t="shared" si="23"/>
        <v>0</v>
      </c>
      <c r="O55" s="120">
        <f t="shared" si="23"/>
        <v>0</v>
      </c>
      <c r="P55" s="120">
        <f t="shared" si="23"/>
        <v>0</v>
      </c>
      <c r="Q55" s="120">
        <f t="shared" si="23"/>
        <v>0</v>
      </c>
    </row>
    <row r="56" spans="2:17" hidden="1" outlineLevel="2">
      <c r="E56" s="6" t="s">
        <v>145</v>
      </c>
      <c r="J56" s="121">
        <f t="shared" ref="J56:Q56" si="24">IF(J55&lt;&gt;0,0,(ROUND(J46+J49-J50,5)&lt;&gt;0)*1)</f>
        <v>0</v>
      </c>
      <c r="K56" s="121">
        <f t="shared" si="24"/>
        <v>0</v>
      </c>
      <c r="L56" s="121">
        <f t="shared" si="24"/>
        <v>0</v>
      </c>
      <c r="M56" s="121">
        <f t="shared" si="24"/>
        <v>0</v>
      </c>
      <c r="N56" s="121">
        <f t="shared" si="24"/>
        <v>0</v>
      </c>
      <c r="O56" s="121">
        <f t="shared" si="24"/>
        <v>0</v>
      </c>
      <c r="P56" s="121">
        <f t="shared" si="24"/>
        <v>0</v>
      </c>
      <c r="Q56" s="121">
        <f t="shared" si="24"/>
        <v>0</v>
      </c>
    </row>
    <row r="57" spans="2:17" hidden="1" outlineLevel="2">
      <c r="E57" s="6" t="s">
        <v>153</v>
      </c>
      <c r="J57" s="121">
        <f t="shared" ref="J57:Q57" si="25">IF(ISERROR(J48),0,(ROUND(MAX(J48),5)&gt;0)*1)</f>
        <v>0</v>
      </c>
      <c r="K57" s="121">
        <f t="shared" si="25"/>
        <v>0</v>
      </c>
      <c r="L57" s="121">
        <f t="shared" si="25"/>
        <v>0</v>
      </c>
      <c r="M57" s="121">
        <f t="shared" si="25"/>
        <v>0</v>
      </c>
      <c r="N57" s="121">
        <f t="shared" si="25"/>
        <v>0</v>
      </c>
      <c r="O57" s="121">
        <f t="shared" si="25"/>
        <v>0</v>
      </c>
      <c r="P57" s="121">
        <f t="shared" si="25"/>
        <v>0</v>
      </c>
      <c r="Q57" s="121">
        <f t="shared" si="25"/>
        <v>0</v>
      </c>
    </row>
    <row r="58" spans="2:17" hidden="1" outlineLevel="2">
      <c r="E58" s="6" t="s">
        <v>147</v>
      </c>
      <c r="J58" s="122">
        <f t="shared" ref="J58:Q58" si="26">IF(ISERROR(J50),0,(ROUND(MIN(J50),5)&lt;0)*1)</f>
        <v>0</v>
      </c>
      <c r="K58" s="122">
        <f t="shared" si="26"/>
        <v>0</v>
      </c>
      <c r="L58" s="122">
        <f t="shared" si="26"/>
        <v>0</v>
      </c>
      <c r="M58" s="122">
        <f t="shared" si="26"/>
        <v>0</v>
      </c>
      <c r="N58" s="122">
        <f t="shared" si="26"/>
        <v>0</v>
      </c>
      <c r="O58" s="122">
        <f t="shared" si="26"/>
        <v>0</v>
      </c>
      <c r="P58" s="122">
        <f t="shared" si="26"/>
        <v>0</v>
      </c>
      <c r="Q58" s="122">
        <f t="shared" si="26"/>
        <v>0</v>
      </c>
    </row>
    <row r="59" spans="2:17" collapsed="1">
      <c r="D59" s="6" t="s">
        <v>148</v>
      </c>
      <c r="I59" s="123">
        <f>IF(ISERROR(SUM(J59:Q59)),0,MIN(SUM(J59:Q59),1))</f>
        <v>0</v>
      </c>
      <c r="J59" s="120">
        <f t="shared" ref="J59:Q59" si="27">MIN(SUM(J55:J58),1)</f>
        <v>0</v>
      </c>
      <c r="K59" s="120">
        <f t="shared" si="27"/>
        <v>0</v>
      </c>
      <c r="L59" s="120">
        <f t="shared" si="27"/>
        <v>0</v>
      </c>
      <c r="M59" s="120">
        <f t="shared" si="27"/>
        <v>0</v>
      </c>
      <c r="N59" s="120">
        <f t="shared" si="27"/>
        <v>0</v>
      </c>
      <c r="O59" s="120">
        <f t="shared" si="27"/>
        <v>0</v>
      </c>
      <c r="P59" s="120">
        <f t="shared" si="27"/>
        <v>0</v>
      </c>
      <c r="Q59" s="120">
        <f t="shared" si="27"/>
        <v>0</v>
      </c>
    </row>
    <row r="62" spans="2:17" ht="12.75">
      <c r="B62" s="107" t="s">
        <v>154</v>
      </c>
    </row>
    <row r="64" spans="2:17" ht="11.25">
      <c r="C64" s="110" t="str">
        <f>"Assets Balances ("&amp;INDEX(LU_Denom,DD_TS_Denom)&amp;")"</f>
        <v>Assets Balances ($Millions)</v>
      </c>
    </row>
    <row r="66" spans="3:17">
      <c r="D66" s="6" t="s">
        <v>139</v>
      </c>
      <c r="J66" s="108">
        <f>IF(J$12=1,Fcast_TA!$I$43,I70)</f>
        <v>145</v>
      </c>
      <c r="K66" s="108">
        <f>IF(K$12=1,Fcast_TA!$I$43,J70)</f>
        <v>146.5</v>
      </c>
      <c r="L66" s="108">
        <f>IF(L$12=1,Fcast_TA!$I$43,K70)</f>
        <v>148.03749999999999</v>
      </c>
      <c r="M66" s="108">
        <f>IF(M$12=1,Fcast_TA!$I$43,L70)</f>
        <v>149.6134375</v>
      </c>
      <c r="N66" s="108">
        <f>IF(N$12=1,Fcast_TA!$I$43,M70)</f>
        <v>151.22877343750002</v>
      </c>
      <c r="O66" s="108">
        <f>IF(O$12=1,Fcast_TA!$I$43,N70)</f>
        <v>152.88449277343753</v>
      </c>
      <c r="P66" s="108">
        <f>IF(P$12=1,Fcast_TA!$I$43,O70)</f>
        <v>154.58160509277349</v>
      </c>
      <c r="Q66" s="108">
        <f>IF(Q$12=1,Fcast_TA!$I$43,P70)</f>
        <v>156.32114522009283</v>
      </c>
    </row>
    <row r="67" spans="3:17">
      <c r="D67" s="7" t="str">
        <f>C21</f>
        <v>Capital Expenditure - Assets</v>
      </c>
      <c r="J67" s="108">
        <f>J21</f>
        <v>15</v>
      </c>
      <c r="K67" s="108">
        <f t="shared" ref="K67:Q67" si="28">K21</f>
        <v>15.374999999999998</v>
      </c>
      <c r="L67" s="108">
        <f t="shared" si="28"/>
        <v>15.759374999999997</v>
      </c>
      <c r="M67" s="108">
        <f t="shared" si="28"/>
        <v>16.153359374999994</v>
      </c>
      <c r="N67" s="108">
        <f t="shared" si="28"/>
        <v>16.557193359374992</v>
      </c>
      <c r="O67" s="108">
        <f t="shared" si="28"/>
        <v>16.971123193359364</v>
      </c>
      <c r="P67" s="108">
        <f t="shared" si="28"/>
        <v>17.395401273193347</v>
      </c>
      <c r="Q67" s="108">
        <f t="shared" si="28"/>
        <v>17.830286305023179</v>
      </c>
    </row>
    <row r="68" spans="3:17" hidden="1" outlineLevel="2">
      <c r="D68" s="6" t="s">
        <v>155</v>
      </c>
      <c r="J68" s="124">
        <f>Fcast_TA!J43</f>
        <v>0.9</v>
      </c>
      <c r="K68" s="124">
        <f>Fcast_TA!K43</f>
        <v>0.9</v>
      </c>
      <c r="L68" s="124">
        <f>Fcast_TA!L43</f>
        <v>0.9</v>
      </c>
      <c r="M68" s="124">
        <f>Fcast_TA!M43</f>
        <v>0.9</v>
      </c>
      <c r="N68" s="124">
        <f>Fcast_TA!N43</f>
        <v>0.9</v>
      </c>
      <c r="O68" s="124">
        <f>Fcast_TA!O43</f>
        <v>0.9</v>
      </c>
      <c r="P68" s="124">
        <f>Fcast_TA!P43</f>
        <v>0.9</v>
      </c>
      <c r="Q68" s="124">
        <f>Fcast_TA!Q43</f>
        <v>0.9</v>
      </c>
    </row>
    <row r="69" spans="3:17" s="14" customFormat="1" collapsed="1">
      <c r="D69" s="111" t="s">
        <v>156</v>
      </c>
      <c r="J69" s="112">
        <f>-J67*J68</f>
        <v>-13.5</v>
      </c>
      <c r="K69" s="112">
        <f t="shared" ref="K69:Q69" si="29">-K67*K68</f>
        <v>-13.837499999999999</v>
      </c>
      <c r="L69" s="112">
        <f t="shared" si="29"/>
        <v>-14.183437499999997</v>
      </c>
      <c r="M69" s="112">
        <f t="shared" si="29"/>
        <v>-14.538023437499994</v>
      </c>
      <c r="N69" s="112">
        <f t="shared" si="29"/>
        <v>-14.901474023437492</v>
      </c>
      <c r="O69" s="112">
        <f t="shared" si="29"/>
        <v>-15.274010874023428</v>
      </c>
      <c r="P69" s="112">
        <f t="shared" si="29"/>
        <v>-15.655861145874013</v>
      </c>
      <c r="Q69" s="112">
        <f t="shared" si="29"/>
        <v>-16.047257674520861</v>
      </c>
    </row>
    <row r="70" spans="3:17">
      <c r="D70" s="115" t="s">
        <v>142</v>
      </c>
      <c r="J70" s="116">
        <f>J66+J67+J69</f>
        <v>146.5</v>
      </c>
      <c r="K70" s="116">
        <f t="shared" ref="K70:Q70" si="30">K66+K67+K69</f>
        <v>148.03749999999999</v>
      </c>
      <c r="L70" s="116">
        <f t="shared" si="30"/>
        <v>149.6134375</v>
      </c>
      <c r="M70" s="116">
        <f t="shared" si="30"/>
        <v>151.22877343750002</v>
      </c>
      <c r="N70" s="116">
        <f t="shared" si="30"/>
        <v>152.88449277343753</v>
      </c>
      <c r="O70" s="116">
        <f t="shared" si="30"/>
        <v>154.58160509277349</v>
      </c>
      <c r="P70" s="116">
        <f t="shared" si="30"/>
        <v>156.32114522009283</v>
      </c>
      <c r="Q70" s="116">
        <f t="shared" si="30"/>
        <v>158.10417385059515</v>
      </c>
    </row>
    <row r="72" spans="3:17" hidden="1" outlineLevel="2">
      <c r="E72" s="6" t="s">
        <v>144</v>
      </c>
      <c r="J72" s="120">
        <f>IF(ISERROR(J70-(J66+J67+J69)),1,0)</f>
        <v>0</v>
      </c>
      <c r="K72" s="120">
        <f t="shared" ref="K72:Q72" si="31">IF(ISERROR(K70-(K66+K67+K69)),1,0)</f>
        <v>0</v>
      </c>
      <c r="L72" s="120">
        <f t="shared" si="31"/>
        <v>0</v>
      </c>
      <c r="M72" s="120">
        <f t="shared" si="31"/>
        <v>0</v>
      </c>
      <c r="N72" s="120">
        <f t="shared" si="31"/>
        <v>0</v>
      </c>
      <c r="O72" s="120">
        <f t="shared" si="31"/>
        <v>0</v>
      </c>
      <c r="P72" s="120">
        <f t="shared" si="31"/>
        <v>0</v>
      </c>
      <c r="Q72" s="120">
        <f t="shared" si="31"/>
        <v>0</v>
      </c>
    </row>
    <row r="73" spans="3:17" hidden="1" outlineLevel="2">
      <c r="E73" s="6" t="s">
        <v>145</v>
      </c>
      <c r="J73" s="122">
        <f>IF(J72&lt;&gt;0,0,(ROUND(J70-(J66+J67+J69),5)&lt;&gt;0)*1)</f>
        <v>0</v>
      </c>
      <c r="K73" s="122">
        <f t="shared" ref="K73:Q73" si="32">IF(K72&lt;&gt;0,0,(ROUND(K70-(K66+K67+K69),5)&lt;&gt;0)*1)</f>
        <v>0</v>
      </c>
      <c r="L73" s="122">
        <f t="shared" si="32"/>
        <v>0</v>
      </c>
      <c r="M73" s="122">
        <f t="shared" si="32"/>
        <v>0</v>
      </c>
      <c r="N73" s="122">
        <f t="shared" si="32"/>
        <v>0</v>
      </c>
      <c r="O73" s="122">
        <f t="shared" si="32"/>
        <v>0</v>
      </c>
      <c r="P73" s="122">
        <f t="shared" si="32"/>
        <v>0</v>
      </c>
      <c r="Q73" s="122">
        <f t="shared" si="32"/>
        <v>0</v>
      </c>
    </row>
    <row r="74" spans="3:17" collapsed="1">
      <c r="D74" s="6" t="s">
        <v>148</v>
      </c>
      <c r="I74" s="123">
        <f>IF(ISERROR(SUM(J74:Q74)),0,MIN(SUM(J74:Q74),1))</f>
        <v>0</v>
      </c>
      <c r="J74" s="120">
        <f>MIN(SUM(J72:J73),1)</f>
        <v>0</v>
      </c>
      <c r="K74" s="120">
        <f t="shared" ref="K74:Q74" si="33">MIN(SUM(K72:K73),1)</f>
        <v>0</v>
      </c>
      <c r="L74" s="120">
        <f t="shared" si="33"/>
        <v>0</v>
      </c>
      <c r="M74" s="120">
        <f t="shared" si="33"/>
        <v>0</v>
      </c>
      <c r="N74" s="120">
        <f t="shared" si="33"/>
        <v>0</v>
      </c>
      <c r="O74" s="120">
        <f t="shared" si="33"/>
        <v>0</v>
      </c>
      <c r="P74" s="120">
        <f t="shared" si="33"/>
        <v>0</v>
      </c>
      <c r="Q74" s="120">
        <f t="shared" si="33"/>
        <v>0</v>
      </c>
    </row>
    <row r="76" spans="3:17" ht="11.25">
      <c r="C76" s="110" t="str">
        <f>"Intangibles Balances ("&amp;INDEX(LU_Denom,DD_TS_Denom)&amp;")"</f>
        <v>Intangibles Balances ($Millions)</v>
      </c>
    </row>
    <row r="78" spans="3:17">
      <c r="D78" s="6" t="s">
        <v>139</v>
      </c>
      <c r="J78" s="108">
        <f>IF(J$12=1,Fcast_TA!$I$44,I82)</f>
        <v>11.5</v>
      </c>
      <c r="K78" s="108">
        <f>IF(K$12=1,Fcast_TA!$I$44,J82)</f>
        <v>13.375</v>
      </c>
      <c r="L78" s="108">
        <f>IF(L$12=1,Fcast_TA!$I$44,K82)</f>
        <v>15.296875</v>
      </c>
      <c r="M78" s="108">
        <f>IF(M$12=1,Fcast_TA!$I$44,L82)</f>
        <v>17.266796874999997</v>
      </c>
      <c r="N78" s="108">
        <f>IF(N$12=1,Fcast_TA!$I$44,M82)</f>
        <v>19.285966796874998</v>
      </c>
      <c r="O78" s="108">
        <f>IF(O$12=1,Fcast_TA!$I$44,N82)</f>
        <v>21.355615966796872</v>
      </c>
      <c r="P78" s="108">
        <f>IF(P$12=1,Fcast_TA!$I$44,O82)</f>
        <v>23.477006365966794</v>
      </c>
      <c r="Q78" s="108">
        <f>IF(Q$12=1,Fcast_TA!$I$44,P82)</f>
        <v>25.651431525115964</v>
      </c>
    </row>
    <row r="79" spans="3:17">
      <c r="D79" s="7" t="str">
        <f>C22</f>
        <v>Capital Expenditure - Intangibles</v>
      </c>
      <c r="J79" s="108">
        <f>J22</f>
        <v>2.5</v>
      </c>
      <c r="K79" s="108">
        <f t="shared" ref="K79:Q79" si="34">K22</f>
        <v>2.5625</v>
      </c>
      <c r="L79" s="108">
        <f t="shared" si="34"/>
        <v>2.6265624999999999</v>
      </c>
      <c r="M79" s="108">
        <f t="shared" si="34"/>
        <v>2.6922265624999997</v>
      </c>
      <c r="N79" s="108">
        <f t="shared" si="34"/>
        <v>2.7595322265624995</v>
      </c>
      <c r="O79" s="108">
        <f t="shared" si="34"/>
        <v>2.8285205322265616</v>
      </c>
      <c r="P79" s="108">
        <f t="shared" si="34"/>
        <v>2.8992335455322253</v>
      </c>
      <c r="Q79" s="108">
        <f t="shared" si="34"/>
        <v>2.9717143841705309</v>
      </c>
    </row>
    <row r="80" spans="3:17" hidden="1" outlineLevel="2">
      <c r="D80" s="6" t="s">
        <v>157</v>
      </c>
      <c r="J80" s="124">
        <f>Fcast_TA!J44</f>
        <v>0.25</v>
      </c>
      <c r="K80" s="124">
        <f>Fcast_TA!K44</f>
        <v>0.25</v>
      </c>
      <c r="L80" s="124">
        <f>Fcast_TA!L44</f>
        <v>0.25</v>
      </c>
      <c r="M80" s="124">
        <f>Fcast_TA!M44</f>
        <v>0.25</v>
      </c>
      <c r="N80" s="124">
        <f>Fcast_TA!N44</f>
        <v>0.25</v>
      </c>
      <c r="O80" s="124">
        <f>Fcast_TA!O44</f>
        <v>0.25</v>
      </c>
      <c r="P80" s="124">
        <f>Fcast_TA!P44</f>
        <v>0.25</v>
      </c>
      <c r="Q80" s="124">
        <f>Fcast_TA!Q44</f>
        <v>0.25</v>
      </c>
    </row>
    <row r="81" spans="4:17" s="14" customFormat="1" collapsed="1">
      <c r="D81" s="111" t="s">
        <v>158</v>
      </c>
      <c r="J81" s="112">
        <f>-J79*J80</f>
        <v>-0.625</v>
      </c>
      <c r="K81" s="112">
        <f t="shared" ref="K81:Q81" si="35">-K79*K80</f>
        <v>-0.640625</v>
      </c>
      <c r="L81" s="112">
        <f t="shared" si="35"/>
        <v>-0.65664062499999998</v>
      </c>
      <c r="M81" s="112">
        <f t="shared" si="35"/>
        <v>-0.67305664062499992</v>
      </c>
      <c r="N81" s="112">
        <f t="shared" si="35"/>
        <v>-0.68988305664062488</v>
      </c>
      <c r="O81" s="112">
        <f t="shared" si="35"/>
        <v>-0.70713013305664041</v>
      </c>
      <c r="P81" s="112">
        <f t="shared" si="35"/>
        <v>-0.72480838638305634</v>
      </c>
      <c r="Q81" s="112">
        <f t="shared" si="35"/>
        <v>-0.74292859604263273</v>
      </c>
    </row>
    <row r="82" spans="4:17">
      <c r="D82" s="115" t="s">
        <v>142</v>
      </c>
      <c r="J82" s="116">
        <f>J78+J79+J81</f>
        <v>13.375</v>
      </c>
      <c r="K82" s="116">
        <f t="shared" ref="K82:Q82" si="36">K78+K79+K81</f>
        <v>15.296875</v>
      </c>
      <c r="L82" s="116">
        <f t="shared" si="36"/>
        <v>17.266796874999997</v>
      </c>
      <c r="M82" s="116">
        <f t="shared" si="36"/>
        <v>19.285966796874998</v>
      </c>
      <c r="N82" s="116">
        <f t="shared" si="36"/>
        <v>21.355615966796872</v>
      </c>
      <c r="O82" s="116">
        <f t="shared" si="36"/>
        <v>23.477006365966794</v>
      </c>
      <c r="P82" s="116">
        <f t="shared" si="36"/>
        <v>25.651431525115964</v>
      </c>
      <c r="Q82" s="116">
        <f t="shared" si="36"/>
        <v>27.880217313243865</v>
      </c>
    </row>
    <row r="84" spans="4:17" hidden="1" outlineLevel="2">
      <c r="E84" s="6" t="s">
        <v>144</v>
      </c>
      <c r="J84" s="120">
        <f>IF(ISERROR(J82-(J78+J79+J81)),1,0)</f>
        <v>0</v>
      </c>
      <c r="K84" s="120">
        <f t="shared" ref="K84:Q84" si="37">IF(ISERROR(K82-(K78+K79+K81)),1,0)</f>
        <v>0</v>
      </c>
      <c r="L84" s="120">
        <f t="shared" si="37"/>
        <v>0</v>
      </c>
      <c r="M84" s="120">
        <f t="shared" si="37"/>
        <v>0</v>
      </c>
      <c r="N84" s="120">
        <f t="shared" si="37"/>
        <v>0</v>
      </c>
      <c r="O84" s="120">
        <f t="shared" si="37"/>
        <v>0</v>
      </c>
      <c r="P84" s="120">
        <f t="shared" si="37"/>
        <v>0</v>
      </c>
      <c r="Q84" s="120">
        <f t="shared" si="37"/>
        <v>0</v>
      </c>
    </row>
    <row r="85" spans="4:17" hidden="1" outlineLevel="2">
      <c r="E85" s="6" t="s">
        <v>145</v>
      </c>
      <c r="J85" s="122">
        <f>IF(J84&lt;&gt;0,0,(ROUND(J82-(J78+J79+J81),5)&lt;&gt;0)*1)</f>
        <v>0</v>
      </c>
      <c r="K85" s="122">
        <f t="shared" ref="K85:Q85" si="38">IF(K84&lt;&gt;0,0,(ROUND(K82-(K78+K79+K81),5)&lt;&gt;0)*1)</f>
        <v>0</v>
      </c>
      <c r="L85" s="122">
        <f t="shared" si="38"/>
        <v>0</v>
      </c>
      <c r="M85" s="122">
        <f t="shared" si="38"/>
        <v>0</v>
      </c>
      <c r="N85" s="122">
        <f t="shared" si="38"/>
        <v>0</v>
      </c>
      <c r="O85" s="122">
        <f t="shared" si="38"/>
        <v>0</v>
      </c>
      <c r="P85" s="122">
        <f t="shared" si="38"/>
        <v>0</v>
      </c>
      <c r="Q85" s="122">
        <f t="shared" si="38"/>
        <v>0</v>
      </c>
    </row>
    <row r="86" spans="4:17" collapsed="1">
      <c r="D86" s="6" t="s">
        <v>148</v>
      </c>
      <c r="I86" s="123">
        <f>IF(ISERROR(SUM(J86:Q86)),0,MIN(SUM(J86:Q86),1))</f>
        <v>0</v>
      </c>
      <c r="J86" s="120">
        <f>MIN(SUM(J84:J85),1)</f>
        <v>0</v>
      </c>
      <c r="K86" s="120">
        <f t="shared" ref="K86:Q86" si="39">MIN(SUM(K84:K85),1)</f>
        <v>0</v>
      </c>
      <c r="L86" s="120">
        <f t="shared" si="39"/>
        <v>0</v>
      </c>
      <c r="M86" s="120">
        <f t="shared" si="39"/>
        <v>0</v>
      </c>
      <c r="N86" s="120">
        <f t="shared" si="39"/>
        <v>0</v>
      </c>
      <c r="O86" s="120">
        <f t="shared" si="39"/>
        <v>0</v>
      </c>
      <c r="P86" s="120">
        <f t="shared" si="39"/>
        <v>0</v>
      </c>
      <c r="Q86" s="120">
        <f t="shared" si="39"/>
        <v>0</v>
      </c>
    </row>
  </sheetData>
  <mergeCells count="1">
    <mergeCell ref="B3:F3"/>
  </mergeCells>
  <conditionalFormatting sqref="D42">
    <cfRule type="expression" dxfId="30" priority="9" stopIfTrue="1">
      <formula>I42&lt;&gt;0</formula>
    </cfRule>
  </conditionalFormatting>
  <conditionalFormatting sqref="J55:Q59 J84:Q86 J72:Q74 J38:Q42">
    <cfRule type="cellIs" dxfId="29" priority="8" stopIfTrue="1" operator="notEqual">
      <formula>0</formula>
    </cfRule>
  </conditionalFormatting>
  <conditionalFormatting sqref="D59">
    <cfRule type="expression" dxfId="28" priority="7" stopIfTrue="1">
      <formula>I59&lt;&gt;0</formula>
    </cfRule>
  </conditionalFormatting>
  <conditionalFormatting sqref="D74">
    <cfRule type="expression" dxfId="27" priority="6" stopIfTrue="1">
      <formula>I74&lt;&gt;0</formula>
    </cfRule>
  </conditionalFormatting>
  <conditionalFormatting sqref="D86">
    <cfRule type="expression" dxfId="26" priority="5" stopIfTrue="1">
      <formula>I86&lt;&gt;0</formula>
    </cfRule>
  </conditionalFormatting>
  <conditionalFormatting sqref="I42">
    <cfRule type="cellIs" dxfId="25" priority="4" stopIfTrue="1" operator="notEqual">
      <formula>0</formula>
    </cfRule>
  </conditionalFormatting>
  <conditionalFormatting sqref="I59">
    <cfRule type="cellIs" dxfId="24" priority="3" stopIfTrue="1" operator="notEqual">
      <formula>0</formula>
    </cfRule>
  </conditionalFormatting>
  <conditionalFormatting sqref="I74">
    <cfRule type="cellIs" dxfId="23" priority="2" stopIfTrue="1" operator="notEqual">
      <formula>0</formula>
    </cfRule>
  </conditionalFormatting>
  <conditionalFormatting sqref="I86">
    <cfRule type="cellIs" dxfId="22" priority="1" stopIfTrue="1" operator="notEqual">
      <formula>0</formula>
    </cfRule>
  </conditionalFormatting>
  <hyperlinks>
    <hyperlink ref="B3" location="HL_Home" tooltip="Go to Table of Contents" display="HL_Home"/>
    <hyperlink ref="A4" location="$B$14" tooltip="Go to Top of Sheet" display="$B$14"/>
    <hyperlink ref="B4" location="HL_Sheet_Main_15" tooltip="Go to Previous Sheet" display="HL_Sheet_Main_15"/>
    <hyperlink ref="C4" location="HL_Sheet_Main_39" tooltip="Go to Next Sheet" display="HL_Sheet_Main_39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rowBreaks count="2" manualBreakCount="2">
    <brk id="24" min="1" max="16" man="1"/>
    <brk id="61" min="1" max="16" man="1"/>
  </rowBreaks>
  <legacyDrawing r:id="rId2"/>
  <legacyDrawingHF r:id="rId3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style="2" customWidth="1"/>
    <col min="3" max="6" width="3.83203125" style="2" customWidth="1"/>
    <col min="7" max="256" width="11.83203125" style="2" customWidth="1"/>
    <col min="257" max="16384" width="9.33203125" style="2"/>
  </cols>
  <sheetData>
    <row r="9" spans="3:7" ht="18">
      <c r="C9" s="1" t="s">
        <v>159</v>
      </c>
    </row>
    <row r="10" spans="3:7" ht="16.5">
      <c r="C10" s="21" t="s">
        <v>160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26</v>
      </c>
    </row>
    <row r="18" spans="3:3">
      <c r="C18" s="24" t="s">
        <v>161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17" tooltip="Go to Previous Sheet" display="HL_Sheet_Main_17"/>
    <hyperlink ref="D13" location="HL_Sheet_Main_8" tooltip="Go to Next Sheet" display="HL_Sheet_Main_8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1" max="2" width="11.83203125" style="2"/>
    <col min="3" max="6" width="3.83203125" style="2" customWidth="1"/>
    <col min="7" max="16384" width="11.83203125" style="2"/>
  </cols>
  <sheetData>
    <row r="9" spans="3:7" ht="18">
      <c r="C9" s="1" t="s">
        <v>162</v>
      </c>
    </row>
    <row r="10" spans="3:7" ht="16.5">
      <c r="C10" s="21" t="s">
        <v>163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56</v>
      </c>
    </row>
    <row r="18" spans="3:3">
      <c r="C18" s="24" t="s">
        <v>164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39" tooltip="Go to Previous Sheet" display="HL_Sheet_Main_39"/>
    <hyperlink ref="D13" location="HL_Sheet_Main_21" tooltip="Go to Next Sheet" display="HL_Sheet_Main_21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>
    <pageSetUpPr autoPageBreaks="0"/>
  </sheetPr>
  <dimension ref="A1:Q60"/>
  <sheetViews>
    <sheetView showGridLines="0" zoomScaleNormal="100" workbookViewId="0">
      <pane xSplit="1" ySplit="13" topLeftCell="B14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ColWidth="11.83203125" defaultRowHeight="10.5" outlineLevelRow="2"/>
  <cols>
    <col min="1" max="5" width="3.83203125" style="2" customWidth="1"/>
    <col min="6" max="16384" width="11.83203125" style="2"/>
  </cols>
  <sheetData>
    <row r="1" spans="1:17" ht="18">
      <c r="B1" s="1" t="s">
        <v>165</v>
      </c>
    </row>
    <row r="2" spans="1:17" ht="15">
      <c r="B2" s="8" t="str">
        <f>Model_Name</f>
        <v>SMA 13. Multiple Workbooks - Best Practice Model Example 2</v>
      </c>
    </row>
    <row r="3" spans="1:17">
      <c r="B3" s="150" t="s">
        <v>1</v>
      </c>
      <c r="C3" s="150"/>
      <c r="D3" s="150"/>
      <c r="E3" s="150"/>
      <c r="F3" s="150"/>
    </row>
    <row r="4" spans="1:17" ht="12.75">
      <c r="A4" s="94" t="s">
        <v>10</v>
      </c>
      <c r="B4" s="22" t="s">
        <v>24</v>
      </c>
      <c r="C4" s="23" t="s">
        <v>25</v>
      </c>
      <c r="D4" s="95" t="s">
        <v>36</v>
      </c>
      <c r="E4" s="95" t="s">
        <v>37</v>
      </c>
      <c r="F4" s="96" t="s">
        <v>38</v>
      </c>
    </row>
    <row r="6" spans="1:17">
      <c r="B6" s="97" t="str">
        <f>IF(TS_Pers_In_Yr=1,"",TS_Per_Type_Name&amp;" Ending")</f>
        <v/>
      </c>
      <c r="J6" s="98" t="str">
        <f t="shared" ref="J6:Q6" si="0">IF(TS_Pers_In_Yr=1,"",LEFT(INDEX(LU_Mth_Names,MONTH(J9)),3)&amp;"-"&amp;RIGHT(YEAR(J9),2))&amp;" "</f>
        <v xml:space="preserve"> </v>
      </c>
      <c r="K6" s="98" t="str">
        <f t="shared" si="0"/>
        <v xml:space="preserve"> </v>
      </c>
      <c r="L6" s="98" t="str">
        <f t="shared" si="0"/>
        <v xml:space="preserve"> </v>
      </c>
      <c r="M6" s="98" t="str">
        <f t="shared" si="0"/>
        <v xml:space="preserve"> </v>
      </c>
      <c r="N6" s="98" t="str">
        <f t="shared" si="0"/>
        <v xml:space="preserve"> </v>
      </c>
      <c r="O6" s="98" t="str">
        <f t="shared" si="0"/>
        <v xml:space="preserve"> </v>
      </c>
      <c r="P6" s="98" t="str">
        <f t="shared" si="0"/>
        <v xml:space="preserve"> </v>
      </c>
      <c r="Q6" s="98" t="str">
        <f t="shared" si="0"/>
        <v xml:space="preserve"> </v>
      </c>
    </row>
    <row r="7" spans="1:17">
      <c r="B7" s="99" t="str">
        <f>IF(TS_Pers_In_Yr=1,Yr_Name&amp;" Ending "&amp;DAY(TS_Per_1_End_Date)&amp;" "&amp;INDEX(LU_Mth_Names,DD_TS_Fin_YE_Mth),TS_Per_Type_Name)</f>
        <v>Year Ending 31 December</v>
      </c>
      <c r="C7" s="12"/>
      <c r="D7" s="12"/>
      <c r="E7" s="12"/>
      <c r="F7" s="12"/>
      <c r="G7" s="12"/>
      <c r="H7" s="12"/>
      <c r="I7" s="12"/>
      <c r="J7" s="100" t="str">
        <f t="shared" ref="J7:Q7" si="1">IF(TS_Pers_In_Yr=1,J10&amp;" ",J11)&amp;IF(CB_TS_Show_Hist_Fcast_Pers,IF(J12&lt;=TS_Actual_Pers,TS_Actual_Per_Title,
IF(J12&lt;=TS_Actual_Pers+TS_Budget_Pers,TS_Budget_Per_Title,TS_Fcast_Per_Title))&amp;" ","")</f>
        <v xml:space="preserve">2010 (F) </v>
      </c>
      <c r="K7" s="100" t="str">
        <f t="shared" si="1"/>
        <v xml:space="preserve">2011 (F) </v>
      </c>
      <c r="L7" s="100" t="str">
        <f t="shared" si="1"/>
        <v xml:space="preserve">2012 (F) </v>
      </c>
      <c r="M7" s="100" t="str">
        <f t="shared" si="1"/>
        <v xml:space="preserve">2013 (F) </v>
      </c>
      <c r="N7" s="100" t="str">
        <f t="shared" si="1"/>
        <v xml:space="preserve">2014 (F) </v>
      </c>
      <c r="O7" s="100" t="str">
        <f t="shared" si="1"/>
        <v xml:space="preserve">2015 (F) </v>
      </c>
      <c r="P7" s="100" t="str">
        <f t="shared" si="1"/>
        <v xml:space="preserve">2016 (F) </v>
      </c>
      <c r="Q7" s="100" t="str">
        <f t="shared" si="1"/>
        <v xml:space="preserve">2017 (F) </v>
      </c>
    </row>
    <row r="8" spans="1:17" hidden="1" outlineLevel="2">
      <c r="B8" s="24" t="s">
        <v>106</v>
      </c>
      <c r="J8" s="101">
        <f t="shared" ref="J8:Q8" si="2">IF(J12=1,TS_Start_Date,I9+1)</f>
        <v>40179</v>
      </c>
      <c r="K8" s="101">
        <f t="shared" si="2"/>
        <v>40544</v>
      </c>
      <c r="L8" s="101">
        <f t="shared" si="2"/>
        <v>40909</v>
      </c>
      <c r="M8" s="101">
        <f t="shared" si="2"/>
        <v>41275</v>
      </c>
      <c r="N8" s="101">
        <f t="shared" si="2"/>
        <v>41640</v>
      </c>
      <c r="O8" s="101">
        <f t="shared" si="2"/>
        <v>42005</v>
      </c>
      <c r="P8" s="101">
        <f t="shared" si="2"/>
        <v>42370</v>
      </c>
      <c r="Q8" s="101">
        <f t="shared" si="2"/>
        <v>42736</v>
      </c>
    </row>
    <row r="9" spans="1:17" hidden="1" outlineLevel="2">
      <c r="B9" s="24" t="s">
        <v>107</v>
      </c>
      <c r="J9" s="101">
        <f t="shared" ref="J9:Q9" si="3">IF(J12=1,TS_Per_1_End_Date,
IF(TS_Mth_End,EOMONTH(EDATE(TS_Per_1_FY_Start_Date,(TS_Per_1_Number+J12-1)*TS_Mths_In_Per-1),0),
EDATE(TS_Per_1_FY_Start_Date,(TS_Per_1_Number+J12-1)*TS_Mths_In_Per)-1))</f>
        <v>40543</v>
      </c>
      <c r="K9" s="101">
        <f t="shared" si="3"/>
        <v>40908</v>
      </c>
      <c r="L9" s="101">
        <f t="shared" si="3"/>
        <v>41274</v>
      </c>
      <c r="M9" s="101">
        <f t="shared" si="3"/>
        <v>41639</v>
      </c>
      <c r="N9" s="101">
        <f t="shared" si="3"/>
        <v>42004</v>
      </c>
      <c r="O9" s="101">
        <f t="shared" si="3"/>
        <v>42369</v>
      </c>
      <c r="P9" s="101">
        <f t="shared" si="3"/>
        <v>42735</v>
      </c>
      <c r="Q9" s="101">
        <f t="shared" si="3"/>
        <v>43100</v>
      </c>
    </row>
    <row r="10" spans="1:17" hidden="1" outlineLevel="2">
      <c r="B10" s="24" t="s">
        <v>108</v>
      </c>
      <c r="J10" s="102">
        <f t="shared" ref="J10:Q10" si="4">YEAR(TS_Per_1_FY_End_Date)+INT((TS_Per_1_Number+J12-2)/TS_Pers_In_Yr)</f>
        <v>2010</v>
      </c>
      <c r="K10" s="102">
        <f t="shared" si="4"/>
        <v>2011</v>
      </c>
      <c r="L10" s="102">
        <f t="shared" si="4"/>
        <v>2012</v>
      </c>
      <c r="M10" s="102">
        <f t="shared" si="4"/>
        <v>2013</v>
      </c>
      <c r="N10" s="102">
        <f t="shared" si="4"/>
        <v>2014</v>
      </c>
      <c r="O10" s="102">
        <f t="shared" si="4"/>
        <v>2015</v>
      </c>
      <c r="P10" s="102">
        <f t="shared" si="4"/>
        <v>2016</v>
      </c>
      <c r="Q10" s="102">
        <f t="shared" si="4"/>
        <v>2017</v>
      </c>
    </row>
    <row r="11" spans="1:17" hidden="1" outlineLevel="2">
      <c r="B11" s="24" t="s">
        <v>109</v>
      </c>
      <c r="J11" s="103" t="str">
        <f t="shared" ref="J11:Q11" si="5">IF(TS_Pers_In_Yr=1,Yr_Name,TS_Per_Type_Prefix&amp;IF(MOD(TS_Per_1_Number+J12-1,TS_Pers_In_Yr)=0,TS_Pers_In_Yr,MOD(TS_Per_1_Number+J12-1,TS_Pers_In_Yr)))&amp;" "</f>
        <v xml:space="preserve">Year </v>
      </c>
      <c r="K11" s="103" t="str">
        <f t="shared" si="5"/>
        <v xml:space="preserve">Year </v>
      </c>
      <c r="L11" s="103" t="str">
        <f t="shared" si="5"/>
        <v xml:space="preserve">Year </v>
      </c>
      <c r="M11" s="103" t="str">
        <f t="shared" si="5"/>
        <v xml:space="preserve">Year </v>
      </c>
      <c r="N11" s="103" t="str">
        <f t="shared" si="5"/>
        <v xml:space="preserve">Year </v>
      </c>
      <c r="O11" s="103" t="str">
        <f t="shared" si="5"/>
        <v xml:space="preserve">Year </v>
      </c>
      <c r="P11" s="103" t="str">
        <f t="shared" si="5"/>
        <v xml:space="preserve">Year </v>
      </c>
      <c r="Q11" s="103" t="str">
        <f t="shared" si="5"/>
        <v xml:space="preserve">Year </v>
      </c>
    </row>
    <row r="12" spans="1:17" hidden="1" outlineLevel="2">
      <c r="B12" s="24" t="s">
        <v>110</v>
      </c>
      <c r="J12" s="104">
        <f>COLUMN(J12)-COLUMN($J12)+1</f>
        <v>1</v>
      </c>
      <c r="K12" s="104">
        <f t="shared" ref="K12:Q12" si="6">COLUMN(K12)-COLUMN($J12)+1</f>
        <v>2</v>
      </c>
      <c r="L12" s="104">
        <f t="shared" si="6"/>
        <v>3</v>
      </c>
      <c r="M12" s="104">
        <f t="shared" si="6"/>
        <v>4</v>
      </c>
      <c r="N12" s="104">
        <f t="shared" si="6"/>
        <v>5</v>
      </c>
      <c r="O12" s="104">
        <f t="shared" si="6"/>
        <v>6</v>
      </c>
      <c r="P12" s="104">
        <f t="shared" si="6"/>
        <v>7</v>
      </c>
      <c r="Q12" s="104">
        <f t="shared" si="6"/>
        <v>8</v>
      </c>
    </row>
    <row r="13" spans="1:17" hidden="1" outlineLevel="2">
      <c r="B13" s="105" t="s">
        <v>111</v>
      </c>
      <c r="C13" s="12"/>
      <c r="D13" s="12"/>
      <c r="E13" s="12"/>
      <c r="F13" s="12"/>
      <c r="G13" s="12"/>
      <c r="H13" s="12"/>
      <c r="I13" s="12"/>
      <c r="J13" s="106" t="str">
        <f>J10&amp;"-"&amp;J11</f>
        <v xml:space="preserve">2010-Year </v>
      </c>
      <c r="K13" s="106" t="str">
        <f t="shared" ref="K13:Q13" si="7">K10&amp;"-"&amp;K11</f>
        <v xml:space="preserve">2011-Year </v>
      </c>
      <c r="L13" s="106" t="str">
        <f t="shared" si="7"/>
        <v xml:space="preserve">2012-Year </v>
      </c>
      <c r="M13" s="106" t="str">
        <f t="shared" si="7"/>
        <v xml:space="preserve">2013-Year </v>
      </c>
      <c r="N13" s="106" t="str">
        <f t="shared" si="7"/>
        <v xml:space="preserve">2014-Year </v>
      </c>
      <c r="O13" s="106" t="str">
        <f t="shared" si="7"/>
        <v xml:space="preserve">2015-Year </v>
      </c>
      <c r="P13" s="106" t="str">
        <f t="shared" si="7"/>
        <v xml:space="preserve">2016-Year </v>
      </c>
      <c r="Q13" s="106" t="str">
        <f t="shared" si="7"/>
        <v xml:space="preserve">2017-Year </v>
      </c>
    </row>
    <row r="14" spans="1:17" collapsed="1"/>
    <row r="16" spans="1:17" ht="12.75">
      <c r="B16" s="125" t="str">
        <f>Fcast_TO!B16</f>
        <v>Operational - Outputs</v>
      </c>
    </row>
    <row r="18" spans="2:17">
      <c r="C18" s="7" t="str">
        <f>Fcast_TO!C18</f>
        <v>Revenue</v>
      </c>
      <c r="J18" s="108">
        <f>Fcast_TO!J18</f>
        <v>125</v>
      </c>
      <c r="K18" s="108">
        <f>Fcast_TO!K18</f>
        <v>128.125</v>
      </c>
      <c r="L18" s="108">
        <f>Fcast_TO!L18</f>
        <v>131.328125</v>
      </c>
      <c r="M18" s="108">
        <f>Fcast_TO!M18</f>
        <v>134.611328125</v>
      </c>
      <c r="N18" s="108">
        <f>Fcast_TO!N18</f>
        <v>137.97661132812499</v>
      </c>
      <c r="O18" s="108">
        <f>Fcast_TO!O18</f>
        <v>141.4260266113281</v>
      </c>
      <c r="P18" s="108">
        <f>Fcast_TO!P18</f>
        <v>144.96167727661128</v>
      </c>
      <c r="Q18" s="108">
        <f>Fcast_TO!Q18</f>
        <v>148.58571920852654</v>
      </c>
    </row>
    <row r="19" spans="2:17">
      <c r="C19" s="7" t="str">
        <f>Fcast_TO!C19</f>
        <v>Cost of Goods Sold</v>
      </c>
      <c r="J19" s="108">
        <f>Fcast_TO!J19</f>
        <v>25</v>
      </c>
      <c r="K19" s="108">
        <f>Fcast_TO!K19</f>
        <v>25.624999999999996</v>
      </c>
      <c r="L19" s="108">
        <f>Fcast_TO!L19</f>
        <v>26.265624999999993</v>
      </c>
      <c r="M19" s="108">
        <f>Fcast_TO!M19</f>
        <v>26.922265624999991</v>
      </c>
      <c r="N19" s="108">
        <f>Fcast_TO!N19</f>
        <v>27.59532226562499</v>
      </c>
      <c r="O19" s="108">
        <f>Fcast_TO!O19</f>
        <v>28.285205322265611</v>
      </c>
      <c r="P19" s="108">
        <f>Fcast_TO!P19</f>
        <v>28.992335455322248</v>
      </c>
      <c r="Q19" s="108">
        <f>Fcast_TO!Q19</f>
        <v>29.717143841705301</v>
      </c>
    </row>
    <row r="20" spans="2:17">
      <c r="C20" s="7" t="str">
        <f>Fcast_TO!C20</f>
        <v>Operating Expenditure</v>
      </c>
      <c r="J20" s="126">
        <f>Fcast_TO!J20</f>
        <v>40</v>
      </c>
      <c r="K20" s="108">
        <f>Fcast_TO!K20</f>
        <v>41</v>
      </c>
      <c r="L20" s="108">
        <f>Fcast_TO!L20</f>
        <v>42.024999999999999</v>
      </c>
      <c r="M20" s="108">
        <f>Fcast_TO!M20</f>
        <v>43.075624999999995</v>
      </c>
      <c r="N20" s="108">
        <f>Fcast_TO!N20</f>
        <v>44.152515624999992</v>
      </c>
      <c r="O20" s="108">
        <f>Fcast_TO!O20</f>
        <v>45.256328515624986</v>
      </c>
      <c r="P20" s="108">
        <f>Fcast_TO!P20</f>
        <v>46.387736728515605</v>
      </c>
      <c r="Q20" s="108">
        <f>Fcast_TO!Q20</f>
        <v>47.547430146728495</v>
      </c>
    </row>
    <row r="21" spans="2:17">
      <c r="C21" s="7" t="str">
        <f>Fcast_TO!C21</f>
        <v>Capital Expenditure - Assets</v>
      </c>
      <c r="J21" s="108">
        <f>Fcast_TO!J21</f>
        <v>15</v>
      </c>
      <c r="K21" s="108">
        <f>Fcast_TO!K21</f>
        <v>15.374999999999998</v>
      </c>
      <c r="L21" s="108">
        <f>Fcast_TO!L21</f>
        <v>15.759374999999997</v>
      </c>
      <c r="M21" s="108">
        <f>Fcast_TO!M21</f>
        <v>16.153359374999994</v>
      </c>
      <c r="N21" s="108">
        <f>Fcast_TO!N21</f>
        <v>16.557193359374992</v>
      </c>
      <c r="O21" s="108">
        <f>Fcast_TO!O21</f>
        <v>16.971123193359364</v>
      </c>
      <c r="P21" s="108">
        <f>Fcast_TO!P21</f>
        <v>17.395401273193347</v>
      </c>
      <c r="Q21" s="108">
        <f>Fcast_TO!Q21</f>
        <v>17.830286305023179</v>
      </c>
    </row>
    <row r="22" spans="2:17">
      <c r="C22" s="7" t="str">
        <f>Fcast_TO!C22</f>
        <v>Capital Expenditure - Intangibles</v>
      </c>
      <c r="J22" s="108">
        <f>Fcast_TO!J22</f>
        <v>2.5</v>
      </c>
      <c r="K22" s="108">
        <f>Fcast_TO!K22</f>
        <v>2.5625</v>
      </c>
      <c r="L22" s="108">
        <f>Fcast_TO!L22</f>
        <v>2.6265624999999999</v>
      </c>
      <c r="M22" s="108">
        <f>Fcast_TO!M22</f>
        <v>2.6922265624999997</v>
      </c>
      <c r="N22" s="108">
        <f>Fcast_TO!N22</f>
        <v>2.7595322265624995</v>
      </c>
      <c r="O22" s="108">
        <f>Fcast_TO!O22</f>
        <v>2.8285205322265616</v>
      </c>
      <c r="P22" s="108">
        <f>Fcast_TO!P22</f>
        <v>2.8992335455322253</v>
      </c>
      <c r="Q22" s="108">
        <f>Fcast_TO!Q22</f>
        <v>2.9717143841705309</v>
      </c>
    </row>
    <row r="23" spans="2:17">
      <c r="C23" s="7"/>
      <c r="J23" s="108"/>
      <c r="K23" s="108"/>
      <c r="L23" s="108"/>
      <c r="M23" s="108"/>
      <c r="N23" s="108"/>
      <c r="O23" s="108"/>
      <c r="P23" s="108"/>
      <c r="Q23" s="108"/>
    </row>
    <row r="25" spans="2:17" ht="12.75">
      <c r="B25" s="125" t="str">
        <f>Fcast_TO!B25</f>
        <v>Working Capital - Outputs</v>
      </c>
    </row>
    <row r="26" spans="2:17" ht="12.75">
      <c r="B26" s="109"/>
    </row>
    <row r="27" spans="2:17" ht="11.25">
      <c r="C27" s="127" t="str">
        <f>Fcast_TO!C27</f>
        <v>Accounts Receivable Balances ($Millions)</v>
      </c>
    </row>
    <row r="29" spans="2:17">
      <c r="D29" s="7" t="str">
        <f>Fcast_TO!D29</f>
        <v>Opening Balance</v>
      </c>
      <c r="J29" s="108">
        <f>Fcast_TO!J29</f>
        <v>21</v>
      </c>
      <c r="K29" s="108">
        <f>Fcast_TO!K29</f>
        <v>10.273972602739725</v>
      </c>
      <c r="L29" s="108">
        <f>Fcast_TO!L29</f>
        <v>10.530821917808218</v>
      </c>
      <c r="M29" s="108">
        <f>Fcast_TO!M29</f>
        <v>10.764600409836065</v>
      </c>
      <c r="N29" s="108">
        <f>Fcast_TO!N29</f>
        <v>11.063944777397261</v>
      </c>
      <c r="O29" s="108">
        <f>Fcast_TO!O29</f>
        <v>11.340543396832192</v>
      </c>
      <c r="P29" s="108">
        <f>Fcast_TO!P29</f>
        <v>11.624056981752995</v>
      </c>
      <c r="Q29" s="108">
        <f>Fcast_TO!Q29</f>
        <v>11.882104694804204</v>
      </c>
    </row>
    <row r="30" spans="2:17">
      <c r="D30" s="7" t="str">
        <f>Fcast_TO!D30</f>
        <v>Revenue</v>
      </c>
      <c r="J30" s="108">
        <f>Fcast_TO!J30</f>
        <v>125</v>
      </c>
      <c r="K30" s="108">
        <f>Fcast_TO!K30</f>
        <v>128.125</v>
      </c>
      <c r="L30" s="108">
        <f>Fcast_TO!L30</f>
        <v>131.328125</v>
      </c>
      <c r="M30" s="108">
        <f>Fcast_TO!M30</f>
        <v>134.611328125</v>
      </c>
      <c r="N30" s="108">
        <f>Fcast_TO!N30</f>
        <v>137.97661132812499</v>
      </c>
      <c r="O30" s="108">
        <f>Fcast_TO!O30</f>
        <v>141.4260266113281</v>
      </c>
      <c r="P30" s="108">
        <f>Fcast_TO!P30</f>
        <v>144.96167727661128</v>
      </c>
      <c r="Q30" s="108">
        <f>Fcast_TO!Q30</f>
        <v>148.58571920852654</v>
      </c>
    </row>
    <row r="31" spans="2:17" s="14" customFormat="1">
      <c r="D31" s="128" t="str">
        <f>Fcast_TO!D31</f>
        <v>Cash Receipts</v>
      </c>
      <c r="J31" s="112">
        <f>Fcast_TO!J31</f>
        <v>-135.72602739726028</v>
      </c>
      <c r="K31" s="112">
        <f>Fcast_TO!K31</f>
        <v>-127.86815068493149</v>
      </c>
      <c r="L31" s="112">
        <f>Fcast_TO!L31</f>
        <v>-131.09434650797215</v>
      </c>
      <c r="M31" s="112">
        <f>Fcast_TO!M31</f>
        <v>-134.31198375743881</v>
      </c>
      <c r="N31" s="112">
        <f>Fcast_TO!N31</f>
        <v>-137.70001270869005</v>
      </c>
      <c r="O31" s="112">
        <f>Fcast_TO!O31</f>
        <v>-141.1425130264073</v>
      </c>
      <c r="P31" s="112">
        <f>Fcast_TO!P31</f>
        <v>-144.70362956356007</v>
      </c>
      <c r="Q31" s="112">
        <f>Fcast_TO!Q31</f>
        <v>-148.25529903687652</v>
      </c>
    </row>
    <row r="32" spans="2:17">
      <c r="D32" s="129" t="str">
        <f>Fcast_TO!D32</f>
        <v>Movement in Accounts Receivable</v>
      </c>
      <c r="J32" s="114">
        <f>Fcast_TO!J32</f>
        <v>-10.726027397260282</v>
      </c>
      <c r="K32" s="114">
        <f>Fcast_TO!K32</f>
        <v>0.25684931506850717</v>
      </c>
      <c r="L32" s="114">
        <f>Fcast_TO!L32</f>
        <v>0.23377849202785228</v>
      </c>
      <c r="M32" s="114">
        <f>Fcast_TO!M32</f>
        <v>0.29934436756118998</v>
      </c>
      <c r="N32" s="114">
        <f>Fcast_TO!N32</f>
        <v>0.27659861943493524</v>
      </c>
      <c r="O32" s="114">
        <f>Fcast_TO!O32</f>
        <v>0.28351358492079726</v>
      </c>
      <c r="P32" s="114">
        <f>Fcast_TO!P32</f>
        <v>0.25804771305121221</v>
      </c>
      <c r="Q32" s="114">
        <f>Fcast_TO!Q32</f>
        <v>0.3304201716500188</v>
      </c>
    </row>
    <row r="33" spans="2:17">
      <c r="D33" s="130" t="str">
        <f>Fcast_TO!D33</f>
        <v>Closing Balance</v>
      </c>
      <c r="J33" s="116">
        <f>Fcast_TO!J33</f>
        <v>10.273972602739725</v>
      </c>
      <c r="K33" s="116">
        <f>Fcast_TO!K33</f>
        <v>10.530821917808218</v>
      </c>
      <c r="L33" s="116">
        <f>Fcast_TO!L33</f>
        <v>10.764600409836065</v>
      </c>
      <c r="M33" s="116">
        <f>Fcast_TO!M33</f>
        <v>11.063944777397261</v>
      </c>
      <c r="N33" s="116">
        <f>Fcast_TO!N33</f>
        <v>11.340543396832192</v>
      </c>
      <c r="O33" s="116">
        <f>Fcast_TO!O33</f>
        <v>11.624056981752995</v>
      </c>
      <c r="P33" s="116">
        <f>Fcast_TO!P33</f>
        <v>11.882104694804204</v>
      </c>
      <c r="Q33" s="116">
        <f>Fcast_TO!Q33</f>
        <v>12.212524866454237</v>
      </c>
    </row>
    <row r="35" spans="2:17" ht="11.25">
      <c r="C35" s="127" t="str">
        <f>Fcast_TO!C44</f>
        <v>Accounts Payable Balances ($Millions)</v>
      </c>
    </row>
    <row r="36" spans="2:17" ht="11.25">
      <c r="C36" s="110"/>
    </row>
    <row r="37" spans="2:17">
      <c r="D37" s="7" t="str">
        <f>Fcast_TO!D46</f>
        <v>Opening Balance</v>
      </c>
      <c r="J37" s="108">
        <f>Fcast_TO!J46</f>
        <v>16</v>
      </c>
      <c r="K37" s="108">
        <f>Fcast_TO!K46</f>
        <v>8.0136986301369859</v>
      </c>
      <c r="L37" s="108">
        <f>Fcast_TO!L46</f>
        <v>8.2140410958904102</v>
      </c>
      <c r="M37" s="108">
        <f>Fcast_TO!M46</f>
        <v>8.3963883196721305</v>
      </c>
      <c r="N37" s="108">
        <f>Fcast_TO!N46</f>
        <v>8.629876926369862</v>
      </c>
      <c r="O37" s="108">
        <f>Fcast_TO!O46</f>
        <v>8.8456238495291082</v>
      </c>
      <c r="P37" s="108">
        <f>Fcast_TO!P46</f>
        <v>9.0667644457673351</v>
      </c>
      <c r="Q37" s="108">
        <f>Fcast_TO!Q46</f>
        <v>9.2680416619472759</v>
      </c>
    </row>
    <row r="38" spans="2:17">
      <c r="D38" s="7" t="str">
        <f>Fcast_TO!D47</f>
        <v>Costs</v>
      </c>
      <c r="J38" s="108">
        <f>Fcast_TO!J47</f>
        <v>65</v>
      </c>
      <c r="K38" s="108">
        <f>Fcast_TO!K47</f>
        <v>66.625</v>
      </c>
      <c r="L38" s="108">
        <f>Fcast_TO!L47</f>
        <v>68.290624999999991</v>
      </c>
      <c r="M38" s="108">
        <f>Fcast_TO!M47</f>
        <v>69.997890624999982</v>
      </c>
      <c r="N38" s="108">
        <f>Fcast_TO!N47</f>
        <v>71.747837890624979</v>
      </c>
      <c r="O38" s="108">
        <f>Fcast_TO!O47</f>
        <v>73.541533837890597</v>
      </c>
      <c r="P38" s="108">
        <f>Fcast_TO!P47</f>
        <v>75.380072183837854</v>
      </c>
      <c r="Q38" s="108">
        <f>Fcast_TO!Q47</f>
        <v>77.264573988433796</v>
      </c>
    </row>
    <row r="39" spans="2:17" s="14" customFormat="1">
      <c r="D39" s="128" t="str">
        <f>Fcast_TO!D48</f>
        <v>Cash Payments</v>
      </c>
      <c r="J39" s="112">
        <f>Fcast_TO!J48</f>
        <v>-72.986301369863014</v>
      </c>
      <c r="K39" s="112">
        <f>Fcast_TO!K48</f>
        <v>-66.424657534246577</v>
      </c>
      <c r="L39" s="112">
        <f>Fcast_TO!L48</f>
        <v>-68.108277776218273</v>
      </c>
      <c r="M39" s="112">
        <f>Fcast_TO!M48</f>
        <v>-69.764402018302249</v>
      </c>
      <c r="N39" s="112">
        <f>Fcast_TO!N48</f>
        <v>-71.532090967465734</v>
      </c>
      <c r="O39" s="112">
        <f>Fcast_TO!O48</f>
        <v>-73.320393241652368</v>
      </c>
      <c r="P39" s="112">
        <f>Fcast_TO!P48</f>
        <v>-75.178794967657907</v>
      </c>
      <c r="Q39" s="112">
        <f>Fcast_TO!Q48</f>
        <v>-77.006846254546772</v>
      </c>
    </row>
    <row r="40" spans="2:17">
      <c r="D40" s="129" t="str">
        <f>Fcast_TO!D49</f>
        <v>Movement in Accounts Payable</v>
      </c>
      <c r="J40" s="114">
        <f>Fcast_TO!J49</f>
        <v>-7.9863013698630141</v>
      </c>
      <c r="K40" s="114">
        <f>Fcast_TO!K49</f>
        <v>0.20034246575342252</v>
      </c>
      <c r="L40" s="114">
        <f>Fcast_TO!L49</f>
        <v>0.18234722378171853</v>
      </c>
      <c r="M40" s="114">
        <f>Fcast_TO!M49</f>
        <v>0.2334886066977333</v>
      </c>
      <c r="N40" s="114">
        <f>Fcast_TO!N49</f>
        <v>0.21574692315924437</v>
      </c>
      <c r="O40" s="114">
        <f>Fcast_TO!O49</f>
        <v>0.22114059623822868</v>
      </c>
      <c r="P40" s="114">
        <f>Fcast_TO!P49</f>
        <v>0.20127721617994609</v>
      </c>
      <c r="Q40" s="114">
        <f>Fcast_TO!Q49</f>
        <v>0.25772773388702319</v>
      </c>
    </row>
    <row r="41" spans="2:17">
      <c r="D41" s="130" t="str">
        <f>Fcast_TO!D50</f>
        <v>Closing Balance</v>
      </c>
      <c r="J41" s="116">
        <f>Fcast_TO!J50</f>
        <v>8.0136986301369859</v>
      </c>
      <c r="K41" s="116">
        <f>Fcast_TO!K50</f>
        <v>8.2140410958904102</v>
      </c>
      <c r="L41" s="116">
        <f>Fcast_TO!L50</f>
        <v>8.3963883196721305</v>
      </c>
      <c r="M41" s="116">
        <f>Fcast_TO!M50</f>
        <v>8.629876926369862</v>
      </c>
      <c r="N41" s="116">
        <f>Fcast_TO!N50</f>
        <v>8.8456238495291082</v>
      </c>
      <c r="O41" s="116">
        <f>Fcast_TO!O50</f>
        <v>9.0667644457673351</v>
      </c>
      <c r="P41" s="116">
        <f>Fcast_TO!P50</f>
        <v>9.2680416619472759</v>
      </c>
      <c r="Q41" s="116">
        <f>Fcast_TO!Q50</f>
        <v>9.5257693958343044</v>
      </c>
    </row>
    <row r="44" spans="2:17" ht="12.75">
      <c r="B44" s="125" t="str">
        <f>Fcast_TO!B62</f>
        <v>Assets - Outputs</v>
      </c>
    </row>
    <row r="46" spans="2:17" ht="11.25">
      <c r="C46" s="127" t="str">
        <f>Fcast_TO!C64</f>
        <v>Assets Balances ($Millions)</v>
      </c>
    </row>
    <row r="48" spans="2:17">
      <c r="D48" s="7" t="str">
        <f>Fcast_TO!D66</f>
        <v>Opening Balance</v>
      </c>
      <c r="J48" s="108">
        <f>Fcast_TO!J66</f>
        <v>145</v>
      </c>
      <c r="K48" s="108">
        <f>Fcast_TO!K66</f>
        <v>146.5</v>
      </c>
      <c r="L48" s="108">
        <f>Fcast_TO!L66</f>
        <v>148.03749999999999</v>
      </c>
      <c r="M48" s="108">
        <f>Fcast_TO!M66</f>
        <v>149.6134375</v>
      </c>
      <c r="N48" s="108">
        <f>Fcast_TO!N66</f>
        <v>151.22877343750002</v>
      </c>
      <c r="O48" s="108">
        <f>Fcast_TO!O66</f>
        <v>152.88449277343753</v>
      </c>
      <c r="P48" s="108">
        <f>Fcast_TO!P66</f>
        <v>154.58160509277349</v>
      </c>
      <c r="Q48" s="108">
        <f>Fcast_TO!Q66</f>
        <v>156.32114522009283</v>
      </c>
    </row>
    <row r="49" spans="3:17">
      <c r="D49" s="7" t="str">
        <f>Fcast_TO!D67</f>
        <v>Capital Expenditure - Assets</v>
      </c>
      <c r="J49" s="108">
        <f>Fcast_TO!J67</f>
        <v>15</v>
      </c>
      <c r="K49" s="108">
        <f>Fcast_TO!K67</f>
        <v>15.374999999999998</v>
      </c>
      <c r="L49" s="108">
        <f>Fcast_TO!L67</f>
        <v>15.759374999999997</v>
      </c>
      <c r="M49" s="108">
        <f>Fcast_TO!M67</f>
        <v>16.153359374999994</v>
      </c>
      <c r="N49" s="108">
        <f>Fcast_TO!N67</f>
        <v>16.557193359374992</v>
      </c>
      <c r="O49" s="108">
        <f>Fcast_TO!O67</f>
        <v>16.971123193359364</v>
      </c>
      <c r="P49" s="108">
        <f>Fcast_TO!P67</f>
        <v>17.395401273193347</v>
      </c>
      <c r="Q49" s="108">
        <f>Fcast_TO!Q67</f>
        <v>17.830286305023179</v>
      </c>
    </row>
    <row r="50" spans="3:17">
      <c r="D50" s="7" t="str">
        <f>Fcast_TO!D68</f>
        <v>Depreciation - % of Capital Expenditure</v>
      </c>
      <c r="J50" s="124">
        <f>Fcast_TO!J68</f>
        <v>0.9</v>
      </c>
      <c r="K50" s="124">
        <f>Fcast_TO!K68</f>
        <v>0.9</v>
      </c>
      <c r="L50" s="124">
        <f>Fcast_TO!L68</f>
        <v>0.9</v>
      </c>
      <c r="M50" s="124">
        <f>Fcast_TO!M68</f>
        <v>0.9</v>
      </c>
      <c r="N50" s="124">
        <f>Fcast_TO!N68</f>
        <v>0.9</v>
      </c>
      <c r="O50" s="124">
        <f>Fcast_TO!O68</f>
        <v>0.9</v>
      </c>
      <c r="P50" s="124">
        <f>Fcast_TO!P68</f>
        <v>0.9</v>
      </c>
      <c r="Q50" s="124">
        <f>Fcast_TO!Q68</f>
        <v>0.9</v>
      </c>
    </row>
    <row r="51" spans="3:17" s="14" customFormat="1">
      <c r="D51" s="128" t="str">
        <f>Fcast_TO!D69</f>
        <v>Depreciation</v>
      </c>
      <c r="J51" s="112">
        <f>Fcast_TO!J69</f>
        <v>-13.5</v>
      </c>
      <c r="K51" s="112">
        <f>Fcast_TO!K69</f>
        <v>-13.837499999999999</v>
      </c>
      <c r="L51" s="112">
        <f>Fcast_TO!L69</f>
        <v>-14.183437499999997</v>
      </c>
      <c r="M51" s="112">
        <f>Fcast_TO!M69</f>
        <v>-14.538023437499994</v>
      </c>
      <c r="N51" s="112">
        <f>Fcast_TO!N69</f>
        <v>-14.901474023437492</v>
      </c>
      <c r="O51" s="112">
        <f>Fcast_TO!O69</f>
        <v>-15.274010874023428</v>
      </c>
      <c r="P51" s="112">
        <f>Fcast_TO!P69</f>
        <v>-15.655861145874013</v>
      </c>
      <c r="Q51" s="112">
        <f>Fcast_TO!Q69</f>
        <v>-16.047257674520861</v>
      </c>
    </row>
    <row r="52" spans="3:17">
      <c r="D52" s="130" t="str">
        <f>Fcast_TO!D70</f>
        <v>Closing Balance</v>
      </c>
      <c r="J52" s="116">
        <f>Fcast_TO!J70</f>
        <v>146.5</v>
      </c>
      <c r="K52" s="116">
        <f>Fcast_TO!K70</f>
        <v>148.03749999999999</v>
      </c>
      <c r="L52" s="116">
        <f>Fcast_TO!L70</f>
        <v>149.6134375</v>
      </c>
      <c r="M52" s="116">
        <f>Fcast_TO!M70</f>
        <v>151.22877343750002</v>
      </c>
      <c r="N52" s="116">
        <f>Fcast_TO!N70</f>
        <v>152.88449277343753</v>
      </c>
      <c r="O52" s="116">
        <f>Fcast_TO!O70</f>
        <v>154.58160509277349</v>
      </c>
      <c r="P52" s="116">
        <f>Fcast_TO!P70</f>
        <v>156.32114522009283</v>
      </c>
      <c r="Q52" s="116">
        <f>Fcast_TO!Q70</f>
        <v>158.10417385059515</v>
      </c>
    </row>
    <row r="54" spans="3:17" ht="11.25">
      <c r="C54" s="127" t="str">
        <f>Fcast_TO!C76</f>
        <v>Intangibles Balances ($Millions)</v>
      </c>
    </row>
    <row r="56" spans="3:17">
      <c r="D56" s="7" t="str">
        <f>Fcast_TO!D78</f>
        <v>Opening Balance</v>
      </c>
      <c r="J56" s="108">
        <f>Fcast_TO!J78</f>
        <v>11.5</v>
      </c>
      <c r="K56" s="108">
        <f>Fcast_TO!K78</f>
        <v>13.375</v>
      </c>
      <c r="L56" s="108">
        <f>Fcast_TO!L78</f>
        <v>15.296875</v>
      </c>
      <c r="M56" s="108">
        <f>Fcast_TO!M78</f>
        <v>17.266796874999997</v>
      </c>
      <c r="N56" s="108">
        <f>Fcast_TO!N78</f>
        <v>19.285966796874998</v>
      </c>
      <c r="O56" s="108">
        <f>Fcast_TO!O78</f>
        <v>21.355615966796872</v>
      </c>
      <c r="P56" s="108">
        <f>Fcast_TO!P78</f>
        <v>23.477006365966794</v>
      </c>
      <c r="Q56" s="108">
        <f>Fcast_TO!Q78</f>
        <v>25.651431525115964</v>
      </c>
    </row>
    <row r="57" spans="3:17">
      <c r="D57" s="7" t="str">
        <f>Fcast_TO!D79</f>
        <v>Capital Expenditure - Intangibles</v>
      </c>
      <c r="J57" s="108">
        <f>Fcast_TO!J79</f>
        <v>2.5</v>
      </c>
      <c r="K57" s="108">
        <f>Fcast_TO!K79</f>
        <v>2.5625</v>
      </c>
      <c r="L57" s="108">
        <f>Fcast_TO!L79</f>
        <v>2.6265624999999999</v>
      </c>
      <c r="M57" s="108">
        <f>Fcast_TO!M79</f>
        <v>2.6922265624999997</v>
      </c>
      <c r="N57" s="108">
        <f>Fcast_TO!N79</f>
        <v>2.7595322265624995</v>
      </c>
      <c r="O57" s="108">
        <f>Fcast_TO!O79</f>
        <v>2.8285205322265616</v>
      </c>
      <c r="P57" s="108">
        <f>Fcast_TO!P79</f>
        <v>2.8992335455322253</v>
      </c>
      <c r="Q57" s="108">
        <f>Fcast_TO!Q79</f>
        <v>2.9717143841705309</v>
      </c>
    </row>
    <row r="58" spans="3:17">
      <c r="D58" s="7" t="str">
        <f>Fcast_TO!D80</f>
        <v>Amortization - % of Capital Expenditure</v>
      </c>
      <c r="J58" s="124">
        <f>Fcast_TO!J80</f>
        <v>0.25</v>
      </c>
      <c r="K58" s="124">
        <f>Fcast_TO!K80</f>
        <v>0.25</v>
      </c>
      <c r="L58" s="124">
        <f>Fcast_TO!L80</f>
        <v>0.25</v>
      </c>
      <c r="M58" s="124">
        <f>Fcast_TO!M80</f>
        <v>0.25</v>
      </c>
      <c r="N58" s="124">
        <f>Fcast_TO!N80</f>
        <v>0.25</v>
      </c>
      <c r="O58" s="124">
        <f>Fcast_TO!O80</f>
        <v>0.25</v>
      </c>
      <c r="P58" s="124">
        <f>Fcast_TO!P80</f>
        <v>0.25</v>
      </c>
      <c r="Q58" s="124">
        <f>Fcast_TO!Q80</f>
        <v>0.25</v>
      </c>
    </row>
    <row r="59" spans="3:17" s="14" customFormat="1">
      <c r="D59" s="128" t="str">
        <f>Fcast_TO!D81</f>
        <v>Amortization</v>
      </c>
      <c r="J59" s="112">
        <f>Fcast_TO!J81</f>
        <v>-0.625</v>
      </c>
      <c r="K59" s="112">
        <f>Fcast_TO!K81</f>
        <v>-0.640625</v>
      </c>
      <c r="L59" s="112">
        <f>Fcast_TO!L81</f>
        <v>-0.65664062499999998</v>
      </c>
      <c r="M59" s="112">
        <f>Fcast_TO!M81</f>
        <v>-0.67305664062499992</v>
      </c>
      <c r="N59" s="112">
        <f>Fcast_TO!N81</f>
        <v>-0.68988305664062488</v>
      </c>
      <c r="O59" s="112">
        <f>Fcast_TO!O81</f>
        <v>-0.70713013305664041</v>
      </c>
      <c r="P59" s="112">
        <f>Fcast_TO!P81</f>
        <v>-0.72480838638305634</v>
      </c>
      <c r="Q59" s="112">
        <f>Fcast_TO!Q81</f>
        <v>-0.74292859604263273</v>
      </c>
    </row>
    <row r="60" spans="3:17">
      <c r="D60" s="130" t="str">
        <f>Fcast_TO!D82</f>
        <v>Closing Balance</v>
      </c>
      <c r="J60" s="116">
        <f>Fcast_TO!J82</f>
        <v>13.375</v>
      </c>
      <c r="K60" s="116">
        <f>Fcast_TO!K82</f>
        <v>15.296875</v>
      </c>
      <c r="L60" s="116">
        <f>Fcast_TO!L82</f>
        <v>17.266796874999997</v>
      </c>
      <c r="M60" s="116">
        <f>Fcast_TO!M82</f>
        <v>19.285966796874998</v>
      </c>
      <c r="N60" s="116">
        <f>Fcast_TO!N82</f>
        <v>21.355615966796872</v>
      </c>
      <c r="O60" s="116">
        <f>Fcast_TO!O82</f>
        <v>23.477006365966794</v>
      </c>
      <c r="P60" s="116">
        <f>Fcast_TO!P82</f>
        <v>25.651431525115964</v>
      </c>
      <c r="Q60" s="116">
        <f>Fcast_TO!Q82</f>
        <v>27.880217313243865</v>
      </c>
    </row>
  </sheetData>
  <mergeCells count="1">
    <mergeCell ref="B3:F3"/>
  </mergeCells>
  <hyperlinks>
    <hyperlink ref="B3" location="HL_Home" tooltip="Go to Table of Contents" display="HL_Home"/>
    <hyperlink ref="A4" location="$B$14" tooltip="Go to Top of Sheet" display="$B$14"/>
    <hyperlink ref="B4" location="HL_Sheet_Main_8" tooltip="Go to Previous Sheet" display="HL_Sheet_Main_8"/>
    <hyperlink ref="C4" location="HL_Sheet_Main_13" tooltip="Go to Next Sheet" display="HL_Sheet_Main_13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rowBreaks count="1" manualBreakCount="1">
    <brk id="43" min="1" max="16" man="1"/>
  </row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style="2" customWidth="1"/>
    <col min="3" max="6" width="3.83203125" style="2" customWidth="1"/>
    <col min="7" max="256" width="11.83203125" style="2" customWidth="1"/>
    <col min="257" max="16384" width="9.33203125" style="2"/>
  </cols>
  <sheetData>
    <row r="9" spans="3:7" ht="18">
      <c r="C9" s="1" t="s">
        <v>166</v>
      </c>
    </row>
    <row r="10" spans="3:7" ht="16.5">
      <c r="C10" s="21" t="s">
        <v>167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32</v>
      </c>
    </row>
    <row r="18" spans="3:3">
      <c r="C18" s="24" t="s">
        <v>168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21" tooltip="Go to Previous Sheet" display="HL_Sheet_Main_21"/>
    <hyperlink ref="D13" location="HL_Sheet_Main_14" tooltip="Go to Next Sheet" display="HL_Sheet_Main_1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>
    <pageSetUpPr autoPageBreaks="0"/>
  </sheetPr>
  <dimension ref="A1:M58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/>
  <cols>
    <col min="1" max="5" width="3.83203125" style="2" customWidth="1"/>
    <col min="6" max="256" width="11.83203125" style="2" customWidth="1"/>
    <col min="257" max="16384" width="9.33203125" style="2"/>
  </cols>
  <sheetData>
    <row r="1" spans="1:9" ht="18">
      <c r="B1" s="1" t="s">
        <v>166</v>
      </c>
    </row>
    <row r="2" spans="1:9" ht="15">
      <c r="B2" s="8" t="str">
        <f>Model_Name</f>
        <v>SMA 13. Multiple Workbooks - Best Practice Model Example 2</v>
      </c>
    </row>
    <row r="3" spans="1:9">
      <c r="B3" s="150" t="s">
        <v>1</v>
      </c>
      <c r="C3" s="150"/>
      <c r="D3" s="150"/>
      <c r="E3" s="150"/>
      <c r="F3" s="150"/>
    </row>
    <row r="4" spans="1:9" ht="12.75">
      <c r="A4" s="94" t="s">
        <v>10</v>
      </c>
      <c r="B4" s="22" t="s">
        <v>24</v>
      </c>
      <c r="C4" s="23" t="s">
        <v>25</v>
      </c>
      <c r="D4" s="95" t="s">
        <v>36</v>
      </c>
      <c r="E4" s="95" t="s">
        <v>37</v>
      </c>
      <c r="F4" s="96" t="s">
        <v>38</v>
      </c>
    </row>
    <row r="7" spans="1:9" ht="12.75">
      <c r="B7" s="131" t="s">
        <v>169</v>
      </c>
    </row>
    <row r="9" spans="1:9" ht="17.25" customHeight="1">
      <c r="C9" s="132" t="b">
        <v>1</v>
      </c>
    </row>
    <row r="11" spans="1:9" ht="11.25">
      <c r="C11" s="19" t="s">
        <v>170</v>
      </c>
    </row>
    <row r="13" spans="1:9">
      <c r="D13" s="133" t="str">
        <f>D26</f>
        <v>Total Errors:</v>
      </c>
      <c r="I13" s="134">
        <f>Err_Chks_Ttl_Areas</f>
        <v>0</v>
      </c>
    </row>
    <row r="14" spans="1:9">
      <c r="D14" s="135" t="s">
        <v>171</v>
      </c>
      <c r="I14" s="136" t="str">
        <f>IF(OR(NOT(CB_Err_Chks_Show_Msg),Err_Chks_Ttl_Areas=0),"",IF(Err_Chks_Ttl_Areas=1," (Error in "&amp;INDEX(CA_Err_Chks_Area_Names,MATCH(1,CA_Err_Chks_Flags,0))&amp;")"," ("&amp;TEXT(Err_Chks_Ttl_Areas,"#,##0")&amp;" Errors Detected)"))</f>
        <v/>
      </c>
    </row>
    <row r="16" spans="1:9" ht="11.25">
      <c r="C16" s="19" t="s">
        <v>169</v>
      </c>
    </row>
    <row r="18" spans="2:13">
      <c r="D18" s="137" t="s">
        <v>169</v>
      </c>
      <c r="E18" s="12"/>
      <c r="F18" s="12"/>
      <c r="G18" s="12"/>
      <c r="H18" s="12"/>
      <c r="I18" s="12"/>
      <c r="J18" s="12"/>
      <c r="K18" s="138" t="s">
        <v>172</v>
      </c>
      <c r="L18" s="138" t="s">
        <v>173</v>
      </c>
      <c r="M18" s="138" t="s">
        <v>174</v>
      </c>
    </row>
    <row r="19" spans="2:13">
      <c r="D19" s="139"/>
      <c r="E19" s="14"/>
      <c r="F19" s="14"/>
      <c r="G19" s="14"/>
      <c r="H19" s="14"/>
      <c r="I19" s="14"/>
      <c r="J19" s="14"/>
      <c r="K19" s="140"/>
      <c r="L19" s="140"/>
      <c r="M19" s="140"/>
    </row>
    <row r="20" spans="2:13">
      <c r="D20" s="9" t="str">
        <f>IF(ISERROR(Err_Chk_1_Hdg),"Miscellaneous Check",Err_Chk_1_Hdg)</f>
        <v>Working Capital - Assumptions</v>
      </c>
      <c r="E20" s="141"/>
      <c r="F20" s="141"/>
      <c r="G20" s="141"/>
      <c r="H20" s="141"/>
      <c r="I20" s="141"/>
      <c r="J20" s="141"/>
      <c r="K20" s="142">
        <f>IF(ISERROR(HL_Err_Chk_1),1,(HL_Err_Chk_1&lt;&gt;0)*1)</f>
        <v>0</v>
      </c>
      <c r="L20" s="143" t="s">
        <v>175</v>
      </c>
      <c r="M20" s="144">
        <f>K20*(L20="Yes")</f>
        <v>0</v>
      </c>
    </row>
    <row r="21" spans="2:13">
      <c r="D21" s="9" t="str">
        <f>IF(ISERROR(Err_Chk_2_Hdg),"Miscellaneous Check",Err_Chk_2_Hdg)</f>
        <v>Accounts Receivable Balances ($Millions)</v>
      </c>
      <c r="E21" s="141"/>
      <c r="F21" s="141"/>
      <c r="G21" s="141"/>
      <c r="H21" s="141"/>
      <c r="I21" s="141"/>
      <c r="J21" s="141"/>
      <c r="K21" s="142">
        <f>IF(ISERROR(HL_Err_Chk_2),1,(HL_Err_Chk_2&lt;&gt;0)*1)</f>
        <v>0</v>
      </c>
      <c r="L21" s="143" t="s">
        <v>175</v>
      </c>
      <c r="M21" s="144">
        <f>K21*(L21="Yes")</f>
        <v>0</v>
      </c>
    </row>
    <row r="22" spans="2:13">
      <c r="D22" s="9" t="str">
        <f>IF(ISERROR(Err_Chk_3_Hdg),"Miscellaneous Check",Err_Chk_3_Hdg)</f>
        <v>Accounts Payable Balances ($Millions)</v>
      </c>
      <c r="E22" s="141"/>
      <c r="F22" s="141"/>
      <c r="G22" s="141"/>
      <c r="H22" s="141"/>
      <c r="I22" s="141"/>
      <c r="J22" s="141"/>
      <c r="K22" s="142">
        <f>IF(ISERROR(HL_Err_Chk_3),1,(HL_Err_Chk_3&lt;&gt;0)*1)</f>
        <v>0</v>
      </c>
      <c r="L22" s="143" t="s">
        <v>175</v>
      </c>
      <c r="M22" s="144">
        <f>K22*(L22="Yes")</f>
        <v>0</v>
      </c>
    </row>
    <row r="23" spans="2:13">
      <c r="D23" s="9" t="str">
        <f>IF(ISERROR(Err_Chk_4_Hdg),"Miscellaneous Check",Err_Chk_4_Hdg)</f>
        <v>Assets Balances ($Millions)</v>
      </c>
      <c r="E23" s="141"/>
      <c r="F23" s="141"/>
      <c r="G23" s="141"/>
      <c r="H23" s="141"/>
      <c r="I23" s="141"/>
      <c r="J23" s="141"/>
      <c r="K23" s="142">
        <f>IF(ISERROR(HL_Err_Chk_4),1,(HL_Err_Chk_4&lt;&gt;0)*1)</f>
        <v>0</v>
      </c>
      <c r="L23" s="143" t="s">
        <v>175</v>
      </c>
      <c r="M23" s="144">
        <f>K23*(L23="Yes")</f>
        <v>0</v>
      </c>
    </row>
    <row r="24" spans="2:13">
      <c r="D24" s="9" t="str">
        <f>IF(ISERROR(Err_Chk_5_Hdg),"Miscellaneous Check",Err_Chk_5_Hdg)</f>
        <v>Intangibles Balances ($Millions)</v>
      </c>
      <c r="E24" s="141"/>
      <c r="F24" s="141"/>
      <c r="G24" s="141"/>
      <c r="H24" s="141"/>
      <c r="I24" s="141"/>
      <c r="J24" s="141"/>
      <c r="K24" s="142">
        <f>IF(ISERROR(HL_Err_Chk_5),1,(HL_Err_Chk_5&lt;&gt;0)*1)</f>
        <v>0</v>
      </c>
      <c r="L24" s="143" t="s">
        <v>175</v>
      </c>
      <c r="M24" s="144">
        <f>K24*(L24="Yes")</f>
        <v>0</v>
      </c>
    </row>
    <row r="26" spans="2:13">
      <c r="D26" s="4" t="s">
        <v>176</v>
      </c>
      <c r="M26" s="145">
        <f>SUMIF(CA_Err_Chks_Inc,"Yes",CA_Err_Chks_Flags)</f>
        <v>0</v>
      </c>
    </row>
    <row r="29" spans="2:13" ht="12.75">
      <c r="B29" s="131" t="s">
        <v>177</v>
      </c>
    </row>
    <row r="31" spans="2:13" ht="17.25" customHeight="1">
      <c r="C31" s="132" t="b">
        <v>1</v>
      </c>
    </row>
    <row r="33" spans="2:13" ht="11.25">
      <c r="C33" s="19" t="s">
        <v>178</v>
      </c>
    </row>
    <row r="35" spans="2:13">
      <c r="D35" s="133" t="str">
        <f>D42</f>
        <v>Total Sensitivities:</v>
      </c>
      <c r="I35" s="134">
        <f>Sens_Chks_Ttl_Areas</f>
        <v>0</v>
      </c>
    </row>
    <row r="36" spans="2:13">
      <c r="D36" s="135" t="s">
        <v>179</v>
      </c>
      <c r="I36" s="136" t="str">
        <f>IF(OR(NOT(CB_Sens_Chks_Show_Msg),Sens_Chks_Ttl_Areas=0),"",IF(Sens_Chks_Ttl_Areas=1," (Sensitivity in "&amp;INDEX(CA_Sens_Chks_Area_Names,MATCH(1,CA_Sens_Chks_Flags,0))&amp;")"," ("&amp;TEXT(Sens_Chks_Ttl_Areas,"#,##0")&amp;" Sensitivities Detected)"))</f>
        <v/>
      </c>
    </row>
    <row r="38" spans="2:13" ht="11.25">
      <c r="C38" s="19" t="s">
        <v>177</v>
      </c>
    </row>
    <row r="40" spans="2:13">
      <c r="D40" s="137" t="s">
        <v>177</v>
      </c>
      <c r="E40" s="12"/>
      <c r="F40" s="12"/>
      <c r="G40" s="12"/>
      <c r="H40" s="12"/>
      <c r="I40" s="12"/>
      <c r="J40" s="12"/>
      <c r="K40" s="138" t="s">
        <v>172</v>
      </c>
      <c r="L40" s="138" t="s">
        <v>173</v>
      </c>
      <c r="M40" s="138" t="s">
        <v>174</v>
      </c>
    </row>
    <row r="42" spans="2:13">
      <c r="D42" s="4" t="s">
        <v>180</v>
      </c>
      <c r="M42" s="145">
        <f>SUMIF(CA_Sens_Chks_Inc,"Yes",CA_Sens_Chks_Flags)</f>
        <v>0</v>
      </c>
    </row>
    <row r="45" spans="2:13" ht="12.75">
      <c r="B45" s="131" t="s">
        <v>181</v>
      </c>
    </row>
    <row r="47" spans="2:13" ht="17.25" customHeight="1">
      <c r="C47" s="132" t="b">
        <v>1</v>
      </c>
    </row>
    <row r="49" spans="3:13" ht="11.25">
      <c r="C49" s="19" t="s">
        <v>182</v>
      </c>
    </row>
    <row r="51" spans="3:13">
      <c r="D51" s="133" t="str">
        <f>D58</f>
        <v>Total Alerts:</v>
      </c>
      <c r="I51" s="134">
        <f>Alt_Chks_Ttl_Areas</f>
        <v>0</v>
      </c>
    </row>
    <row r="52" spans="3:13">
      <c r="D52" s="135" t="s">
        <v>183</v>
      </c>
      <c r="I52" s="136" t="str">
        <f>IF(OR(NOT(CB_Alt_Chks_Show_Msg),Alt_Chks_Ttl_Areas=0),"",IF(Alt_Chks_Ttl_Areas=1," (Alert in "&amp;INDEX(CA_Alt_Chks_Area_Names,MATCH(1,CA_Alt_Chks_Flags,0))&amp;")"," ("&amp;TEXT(Alt_Chks_Ttl_Areas,"#,##0")&amp;" Alerts Detected)"))</f>
        <v/>
      </c>
    </row>
    <row r="54" spans="3:13" ht="11.25">
      <c r="C54" s="19" t="s">
        <v>181</v>
      </c>
    </row>
    <row r="56" spans="3:13">
      <c r="D56" s="137" t="s">
        <v>181</v>
      </c>
      <c r="E56" s="12"/>
      <c r="F56" s="12"/>
      <c r="G56" s="12"/>
      <c r="H56" s="12"/>
      <c r="I56" s="12"/>
      <c r="J56" s="12"/>
      <c r="K56" s="138" t="s">
        <v>172</v>
      </c>
      <c r="L56" s="138" t="s">
        <v>173</v>
      </c>
      <c r="M56" s="138" t="s">
        <v>174</v>
      </c>
    </row>
    <row r="58" spans="3:13">
      <c r="D58" s="4" t="s">
        <v>184</v>
      </c>
      <c r="M58" s="145">
        <f>SUMIF(CA_Alt_Chks_Inc,"Yes",CA_Alt_Chks_Flags)</f>
        <v>0</v>
      </c>
    </row>
  </sheetData>
  <mergeCells count="1">
    <mergeCell ref="B3:F3"/>
  </mergeCells>
  <conditionalFormatting sqref="M42 I51 M26 I35 I13">
    <cfRule type="cellIs" dxfId="21" priority="22" stopIfTrue="1" operator="notEqual">
      <formula>0</formula>
    </cfRule>
  </conditionalFormatting>
  <conditionalFormatting sqref="M58">
    <cfRule type="cellIs" dxfId="20" priority="21" stopIfTrue="1" operator="notEqual">
      <formula>0</formula>
    </cfRule>
  </conditionalFormatting>
  <conditionalFormatting sqref="D20">
    <cfRule type="expression" dxfId="19" priority="20" stopIfTrue="1">
      <formula>K20&lt;&gt;0</formula>
    </cfRule>
  </conditionalFormatting>
  <conditionalFormatting sqref="K20">
    <cfRule type="cellIs" dxfId="18" priority="19" stopIfTrue="1" operator="notEqual">
      <formula>0</formula>
    </cfRule>
  </conditionalFormatting>
  <conditionalFormatting sqref="L20">
    <cfRule type="expression" dxfId="17" priority="18" stopIfTrue="1">
      <formula>K20&lt;&gt;0</formula>
    </cfRule>
  </conditionalFormatting>
  <conditionalFormatting sqref="M20">
    <cfRule type="expression" dxfId="16" priority="17" stopIfTrue="1">
      <formula>K20&lt;&gt;0</formula>
    </cfRule>
  </conditionalFormatting>
  <conditionalFormatting sqref="D21">
    <cfRule type="expression" dxfId="15" priority="16" stopIfTrue="1">
      <formula>K21&lt;&gt;0</formula>
    </cfRule>
  </conditionalFormatting>
  <conditionalFormatting sqref="K21">
    <cfRule type="cellIs" dxfId="14" priority="15" stopIfTrue="1" operator="notEqual">
      <formula>0</formula>
    </cfRule>
  </conditionalFormatting>
  <conditionalFormatting sqref="L21">
    <cfRule type="expression" dxfId="13" priority="14" stopIfTrue="1">
      <formula>K21&lt;&gt;0</formula>
    </cfRule>
  </conditionalFormatting>
  <conditionalFormatting sqref="M21">
    <cfRule type="expression" dxfId="12" priority="13" stopIfTrue="1">
      <formula>K21&lt;&gt;0</formula>
    </cfRule>
  </conditionalFormatting>
  <conditionalFormatting sqref="D22">
    <cfRule type="expression" dxfId="11" priority="12" stopIfTrue="1">
      <formula>K22&lt;&gt;0</formula>
    </cfRule>
  </conditionalFormatting>
  <conditionalFormatting sqref="K22">
    <cfRule type="cellIs" dxfId="10" priority="11" stopIfTrue="1" operator="notEqual">
      <formula>0</formula>
    </cfRule>
  </conditionalFormatting>
  <conditionalFormatting sqref="L22">
    <cfRule type="expression" dxfId="9" priority="10" stopIfTrue="1">
      <formula>K22&lt;&gt;0</formula>
    </cfRule>
  </conditionalFormatting>
  <conditionalFormatting sqref="M22">
    <cfRule type="expression" dxfId="8" priority="9" stopIfTrue="1">
      <formula>K22&lt;&gt;0</formula>
    </cfRule>
  </conditionalFormatting>
  <conditionalFormatting sqref="D23">
    <cfRule type="expression" dxfId="7" priority="8" stopIfTrue="1">
      <formula>K23&lt;&gt;0</formula>
    </cfRule>
  </conditionalFormatting>
  <conditionalFormatting sqref="K23">
    <cfRule type="cellIs" dxfId="6" priority="7" stopIfTrue="1" operator="notEqual">
      <formula>0</formula>
    </cfRule>
  </conditionalFormatting>
  <conditionalFormatting sqref="L23">
    <cfRule type="expression" dxfId="5" priority="6" stopIfTrue="1">
      <formula>K23&lt;&gt;0</formula>
    </cfRule>
  </conditionalFormatting>
  <conditionalFormatting sqref="M23">
    <cfRule type="expression" dxfId="4" priority="5" stopIfTrue="1">
      <formula>K23&lt;&gt;0</formula>
    </cfRule>
  </conditionalFormatting>
  <conditionalFormatting sqref="D24">
    <cfRule type="expression" dxfId="3" priority="4" stopIfTrue="1">
      <formula>K24&lt;&gt;0</formula>
    </cfRule>
  </conditionalFormatting>
  <conditionalFormatting sqref="K24">
    <cfRule type="cellIs" dxfId="2" priority="3" stopIfTrue="1" operator="notEqual">
      <formula>0</formula>
    </cfRule>
  </conditionalFormatting>
  <conditionalFormatting sqref="L24">
    <cfRule type="expression" dxfId="1" priority="2" stopIfTrue="1">
      <formula>K24&lt;&gt;0</formula>
    </cfRule>
  </conditionalFormatting>
  <conditionalFormatting sqref="M24">
    <cfRule type="expression" dxfId="0" priority="1" stopIfTrue="1">
      <formula>K24&lt;&gt;0</formula>
    </cfRule>
  </conditionalFormatting>
  <dataValidations count="2">
    <dataValidation type="custom" showDropDown="1" showErrorMessage="1" errorTitle="6 Cell Link" error="The value in an option button cell link must be either &quot;TRUE&quot; or &quot;FALSE&quot;" sqref="C47 C31 C9">
      <formula1>ISLOGICAL(C9)</formula1>
    </dataValidation>
    <dataValidation type="list" showErrorMessage="1" errorTitle="Include Error Check" error="The include error check trigger must correspond with one of the options provided in the drop down list." sqref="L20:L24">
      <formula1>"Yes,No"</formula1>
    </dataValidation>
  </dataValidations>
  <hyperlinks>
    <hyperlink ref="D20:J20" location="HL_Err_Chk_1" tooltip="Go to Working Capital - Assumptions" display="HL_Err_Chk_1"/>
    <hyperlink ref="D21:J21" location="HL_Err_Chk_2" tooltip="Go to Accounts Receivable Balances ($Millions)" display="HL_Err_Chk_2"/>
    <hyperlink ref="D22:J22" location="HL_Err_Chk_3" tooltip="Go to Accounts Payable Balances ($Millions)" display="HL_Err_Chk_3"/>
    <hyperlink ref="D23:J23" location="HL_Err_Chk_4" tooltip="Go to Assets Balances ($Millions)" display="HL_Err_Chk_4"/>
    <hyperlink ref="D24:J24" location="HL_Err_Chk_5" tooltip="Go to Intangibles Balances ($Millions)" display="HL_Err_Chk_5"/>
    <hyperlink ref="B3" location="HL_Home" tooltip="Go to Table of Contents" display="HL_Home"/>
    <hyperlink ref="A4" location="$B$5" tooltip="Go to Top of Sheet" display="$B$5"/>
    <hyperlink ref="B4" location="HL_Sheet_Main_13" tooltip="Go to Previous Sheet" display="HL_Sheet_Main_13"/>
    <hyperlink ref="C4" location="HL_Sheet_Main_40" tooltip="Go to Next Sheet" display="HL_Sheet_Main_40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scale="90" orientation="landscape" r:id="rId1"/>
  <headerFooter>
    <oddFooter>&amp;L&amp;F
&amp;A
Printed: &amp;T on &amp;D&amp;CPage &amp;P of &amp;N&amp;R&amp;G</oddFooter>
  </headerFooter>
  <rowBreaks count="2" manualBreakCount="2">
    <brk id="28" min="1" max="12" man="1"/>
    <brk id="44" min="1" max="12" man="1"/>
  </rowBreaks>
  <legacyDrawing r:id="rId2"/>
  <legacyDrawingHF r:id="rId3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style="2" customWidth="1"/>
    <col min="3" max="6" width="3.83203125" style="2" customWidth="1"/>
    <col min="7" max="256" width="11.83203125" style="2" customWidth="1"/>
    <col min="257" max="16384" width="9.33203125" style="2"/>
  </cols>
  <sheetData>
    <row r="9" spans="3:7" ht="18">
      <c r="C9" s="1" t="s">
        <v>185</v>
      </c>
    </row>
    <row r="10" spans="3:7" ht="16.5">
      <c r="C10" s="21" t="s">
        <v>186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32</v>
      </c>
    </row>
    <row r="18" spans="3:3">
      <c r="C18" s="24" t="s">
        <v>187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14" tooltip="Go to Previous Sheet" display="HL_Sheet_Main_14"/>
    <hyperlink ref="D13" location="HL_Sheet_Main_9" tooltip="Go to Next Sheet" display="HL_Sheet_Main_9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autoPageBreaks="0"/>
  </sheetPr>
  <dimension ref="A1:Q36"/>
  <sheetViews>
    <sheetView showGridLines="0" zoomScaleNormal="100" workbookViewId="0">
      <pane xSplit="1" ySplit="6" topLeftCell="B7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ColWidth="11.83203125" defaultRowHeight="10.5" outlineLevelRow="1"/>
  <cols>
    <col min="1" max="2" width="3.83203125" style="2" customWidth="1"/>
    <col min="3" max="3" width="0" style="2" hidden="1" customWidth="1"/>
    <col min="4" max="4" width="5.1640625" style="2" customWidth="1"/>
    <col min="5" max="5" width="0" style="2" hidden="1" customWidth="1"/>
    <col min="6" max="6" width="2.83203125" style="2" customWidth="1"/>
    <col min="7" max="7" width="0" style="2" hidden="1" customWidth="1"/>
    <col min="8" max="8" width="1.83203125" style="2" customWidth="1"/>
    <col min="9" max="16" width="11.83203125" style="2"/>
    <col min="17" max="17" width="9.1640625" style="2" customWidth="1"/>
    <col min="18" max="16384" width="11.83203125" style="2"/>
  </cols>
  <sheetData>
    <row r="1" spans="1:17" ht="18">
      <c r="B1" s="1" t="s">
        <v>8</v>
      </c>
    </row>
    <row r="2" spans="1:17" ht="15">
      <c r="B2" s="8" t="str">
        <f>Model_Name</f>
        <v>SMA 13. Multiple Workbooks - Best Practice Model Example 2</v>
      </c>
    </row>
    <row r="3" spans="1:17">
      <c r="B3" s="150" t="s">
        <v>9</v>
      </c>
      <c r="C3" s="150"/>
      <c r="D3" s="150"/>
      <c r="E3" s="150"/>
      <c r="F3" s="150"/>
      <c r="G3" s="150"/>
      <c r="H3" s="150"/>
      <c r="I3" s="150"/>
      <c r="J3" s="9"/>
    </row>
    <row r="6" spans="1:17" s="14" customFormat="1" ht="12.75">
      <c r="A6" s="10" t="s">
        <v>10</v>
      </c>
      <c r="B6" s="11" t="s">
        <v>11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3" t="s">
        <v>12</v>
      </c>
    </row>
    <row r="8" spans="1:17" ht="19.149999999999999" customHeight="1">
      <c r="B8" s="152">
        <v>1</v>
      </c>
      <c r="C8" s="152"/>
      <c r="D8" s="153" t="str">
        <f>Overview_SC!C9</f>
        <v>Overview</v>
      </c>
      <c r="E8" s="153"/>
      <c r="F8" s="153"/>
      <c r="G8" s="153"/>
      <c r="H8" s="153"/>
      <c r="I8" s="153"/>
      <c r="J8" s="153"/>
      <c r="K8" s="153"/>
      <c r="L8" s="153"/>
      <c r="M8" s="153"/>
      <c r="N8" s="153"/>
      <c r="O8" s="153"/>
      <c r="P8" s="153"/>
      <c r="Q8" s="15">
        <v>3</v>
      </c>
    </row>
    <row r="9" spans="1:17" ht="11.25">
      <c r="D9" s="154" t="s">
        <v>13</v>
      </c>
      <c r="E9" s="154"/>
      <c r="F9" s="155" t="str">
        <f>Notes_SSC!C9</f>
        <v>Notes</v>
      </c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6">
        <v>4</v>
      </c>
    </row>
    <row r="10" spans="1:17" outlineLevel="1">
      <c r="F10" s="156" t="s">
        <v>14</v>
      </c>
      <c r="G10" s="156"/>
      <c r="H10" s="157" t="str">
        <f>Linked_Workbooks_Diagram_MS!B1</f>
        <v>Linked Workbooks Diagram</v>
      </c>
      <c r="I10" s="157"/>
      <c r="J10" s="157"/>
      <c r="K10" s="157"/>
      <c r="L10" s="157"/>
      <c r="M10" s="157"/>
      <c r="N10" s="157"/>
      <c r="O10" s="157"/>
      <c r="P10" s="157"/>
      <c r="Q10" s="17">
        <v>5</v>
      </c>
    </row>
    <row r="11" spans="1:17" ht="19.149999999999999" customHeight="1">
      <c r="B11" s="152">
        <v>2</v>
      </c>
      <c r="C11" s="152"/>
      <c r="D11" s="153" t="str">
        <f>Assumptions_SC!C9</f>
        <v>Assumptions</v>
      </c>
      <c r="E11" s="153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">
        <v>6</v>
      </c>
    </row>
    <row r="12" spans="1:17" ht="11.25">
      <c r="D12" s="154" t="s">
        <v>15</v>
      </c>
      <c r="E12" s="154"/>
      <c r="F12" s="155" t="str">
        <f>TS_Ass_SSC!C9</f>
        <v>Time Series Assumptions</v>
      </c>
      <c r="G12" s="155"/>
      <c r="H12" s="155"/>
      <c r="I12" s="155"/>
      <c r="J12" s="155"/>
      <c r="K12" s="155"/>
      <c r="L12" s="155"/>
      <c r="M12" s="155"/>
      <c r="N12" s="155"/>
      <c r="O12" s="155"/>
      <c r="P12" s="155"/>
      <c r="Q12" s="16">
        <v>7</v>
      </c>
    </row>
    <row r="13" spans="1:17" outlineLevel="1">
      <c r="F13" s="156" t="s">
        <v>14</v>
      </c>
      <c r="G13" s="156"/>
      <c r="H13" s="157" t="str">
        <f>TS_BA!B1</f>
        <v>Time Series Assumptions</v>
      </c>
      <c r="I13" s="157"/>
      <c r="J13" s="157"/>
      <c r="K13" s="157"/>
      <c r="L13" s="157"/>
      <c r="M13" s="157"/>
      <c r="N13" s="157"/>
      <c r="O13" s="157"/>
      <c r="P13" s="157"/>
      <c r="Q13" s="17">
        <v>8</v>
      </c>
    </row>
    <row r="14" spans="1:17" ht="11.25">
      <c r="D14" s="154" t="s">
        <v>16</v>
      </c>
      <c r="E14" s="154"/>
      <c r="F14" s="155" t="str">
        <f>Fcast_Ass_SSC!C9</f>
        <v>Forecast Assumptions</v>
      </c>
      <c r="G14" s="155"/>
      <c r="H14" s="155"/>
      <c r="I14" s="155"/>
      <c r="J14" s="155"/>
      <c r="K14" s="155"/>
      <c r="L14" s="155"/>
      <c r="M14" s="155"/>
      <c r="N14" s="155"/>
      <c r="O14" s="155"/>
      <c r="P14" s="155"/>
      <c r="Q14" s="16">
        <v>9</v>
      </c>
    </row>
    <row r="15" spans="1:17" outlineLevel="1">
      <c r="F15" s="156" t="s">
        <v>14</v>
      </c>
      <c r="G15" s="156"/>
      <c r="H15" s="157" t="str">
        <f>Fcast_TA!B1</f>
        <v>Assumptions</v>
      </c>
      <c r="I15" s="157"/>
      <c r="J15" s="157"/>
      <c r="K15" s="157"/>
      <c r="L15" s="157"/>
      <c r="M15" s="157"/>
      <c r="N15" s="157"/>
      <c r="O15" s="157"/>
      <c r="P15" s="157"/>
      <c r="Q15" s="17">
        <v>10</v>
      </c>
    </row>
    <row r="16" spans="1:17" outlineLevel="1">
      <c r="H16" s="18" t="s">
        <v>4</v>
      </c>
      <c r="I16" s="151" t="str">
        <f>TOC_Hdg_5</f>
        <v>Operational - Assumptions</v>
      </c>
      <c r="J16" s="151"/>
      <c r="K16" s="151"/>
      <c r="L16" s="151"/>
      <c r="M16" s="151"/>
      <c r="N16" s="151"/>
      <c r="O16" s="151"/>
      <c r="P16" s="151"/>
      <c r="Q16" s="18" t="s">
        <v>4</v>
      </c>
    </row>
    <row r="17" spans="2:17" outlineLevel="1">
      <c r="H17" s="18" t="s">
        <v>4</v>
      </c>
      <c r="I17" s="151" t="str">
        <f>TOC_Hdg_9</f>
        <v>Working Capital - Assumptions</v>
      </c>
      <c r="J17" s="151"/>
      <c r="K17" s="151"/>
      <c r="L17" s="151"/>
      <c r="M17" s="151"/>
      <c r="N17" s="151"/>
      <c r="O17" s="151"/>
      <c r="P17" s="151"/>
      <c r="Q17" s="18" t="s">
        <v>4</v>
      </c>
    </row>
    <row r="18" spans="2:17" outlineLevel="1">
      <c r="H18" s="18" t="s">
        <v>4</v>
      </c>
      <c r="I18" s="151" t="str">
        <f>TOC_Hdg_10</f>
        <v>Assets - Assumptions</v>
      </c>
      <c r="J18" s="151"/>
      <c r="K18" s="151"/>
      <c r="L18" s="151"/>
      <c r="M18" s="151"/>
      <c r="N18" s="151"/>
      <c r="O18" s="151"/>
      <c r="P18" s="151"/>
      <c r="Q18" s="18" t="s">
        <v>4</v>
      </c>
    </row>
    <row r="19" spans="2:17" ht="19.149999999999999" customHeight="1">
      <c r="B19" s="152">
        <v>3</v>
      </c>
      <c r="C19" s="152"/>
      <c r="D19" s="153" t="str">
        <f>Base_OP_SC!C9</f>
        <v>Outputs</v>
      </c>
      <c r="E19" s="153"/>
      <c r="F19" s="153"/>
      <c r="G19" s="153"/>
      <c r="H19" s="153"/>
      <c r="I19" s="153"/>
      <c r="J19" s="153"/>
      <c r="K19" s="153"/>
      <c r="L19" s="153"/>
      <c r="M19" s="153"/>
      <c r="N19" s="153"/>
      <c r="O19" s="153"/>
      <c r="P19" s="153"/>
      <c r="Q19" s="15">
        <v>11</v>
      </c>
    </row>
    <row r="20" spans="2:17" ht="11.25">
      <c r="D20" s="154" t="s">
        <v>17</v>
      </c>
      <c r="E20" s="154"/>
      <c r="F20" s="155" t="str">
        <f>Fcast_OP_SSC!C9</f>
        <v>Forecast Outputs</v>
      </c>
      <c r="G20" s="155"/>
      <c r="H20" s="155"/>
      <c r="I20" s="155"/>
      <c r="J20" s="155"/>
      <c r="K20" s="155"/>
      <c r="L20" s="155"/>
      <c r="M20" s="155"/>
      <c r="N20" s="155"/>
      <c r="O20" s="155"/>
      <c r="P20" s="155"/>
      <c r="Q20" s="16">
        <v>12</v>
      </c>
    </row>
    <row r="21" spans="2:17" outlineLevel="1">
      <c r="F21" s="156" t="s">
        <v>14</v>
      </c>
      <c r="G21" s="156"/>
      <c r="H21" s="157" t="str">
        <f>Fcast_TO!B1</f>
        <v>Outputs</v>
      </c>
      <c r="I21" s="157"/>
      <c r="J21" s="157"/>
      <c r="K21" s="157"/>
      <c r="L21" s="157"/>
      <c r="M21" s="157"/>
      <c r="N21" s="157"/>
      <c r="O21" s="157"/>
      <c r="P21" s="157"/>
      <c r="Q21" s="17">
        <v>13</v>
      </c>
    </row>
    <row r="22" spans="2:17" outlineLevel="1">
      <c r="H22" s="18" t="s">
        <v>4</v>
      </c>
      <c r="I22" s="151" t="str">
        <f>TOC_Hdg_21</f>
        <v>Operational - Outputs</v>
      </c>
      <c r="J22" s="151"/>
      <c r="K22" s="151"/>
      <c r="L22" s="151"/>
      <c r="M22" s="151"/>
      <c r="N22" s="151"/>
      <c r="O22" s="151"/>
      <c r="P22" s="151"/>
      <c r="Q22" s="18" t="s">
        <v>4</v>
      </c>
    </row>
    <row r="23" spans="2:17" outlineLevel="1">
      <c r="H23" s="18" t="s">
        <v>4</v>
      </c>
      <c r="I23" s="151" t="str">
        <f>TOC_Hdg_24</f>
        <v>Working Capital - Outputs</v>
      </c>
      <c r="J23" s="151"/>
      <c r="K23" s="151"/>
      <c r="L23" s="151"/>
      <c r="M23" s="151"/>
      <c r="N23" s="151"/>
      <c r="O23" s="151"/>
      <c r="P23" s="151"/>
      <c r="Q23" s="18" t="s">
        <v>4</v>
      </c>
    </row>
    <row r="24" spans="2:17" outlineLevel="1">
      <c r="H24" s="18" t="s">
        <v>4</v>
      </c>
      <c r="I24" s="151" t="str">
        <f>TOC_Hdg_17</f>
        <v>Assets - Outputs</v>
      </c>
      <c r="J24" s="151"/>
      <c r="K24" s="151"/>
      <c r="L24" s="151"/>
      <c r="M24" s="151"/>
      <c r="N24" s="151"/>
      <c r="O24" s="151"/>
      <c r="P24" s="151"/>
      <c r="Q24" s="18" t="s">
        <v>4</v>
      </c>
    </row>
    <row r="25" spans="2:17" ht="19.149999999999999" customHeight="1">
      <c r="B25" s="152">
        <v>4</v>
      </c>
      <c r="C25" s="152"/>
      <c r="D25" s="153" t="str">
        <f>Appendices_SC!C9</f>
        <v>Appendices</v>
      </c>
      <c r="E25" s="153"/>
      <c r="F25" s="153"/>
      <c r="G25" s="153"/>
      <c r="H25" s="153"/>
      <c r="I25" s="153"/>
      <c r="J25" s="153"/>
      <c r="K25" s="153"/>
      <c r="L25" s="153"/>
      <c r="M25" s="153"/>
      <c r="N25" s="153"/>
      <c r="O25" s="153"/>
      <c r="P25" s="153"/>
      <c r="Q25" s="15">
        <v>16</v>
      </c>
    </row>
    <row r="26" spans="2:17" ht="11.25">
      <c r="D26" s="154" t="s">
        <v>18</v>
      </c>
      <c r="E26" s="154"/>
      <c r="F26" s="155" t="str">
        <f>Model_Exports_SSC!C9</f>
        <v>Model Exports</v>
      </c>
      <c r="G26" s="155"/>
      <c r="H26" s="155"/>
      <c r="I26" s="155"/>
      <c r="J26" s="155"/>
      <c r="K26" s="155"/>
      <c r="L26" s="155"/>
      <c r="M26" s="155"/>
      <c r="N26" s="155"/>
      <c r="O26" s="155"/>
      <c r="P26" s="155"/>
      <c r="Q26" s="16">
        <v>17</v>
      </c>
    </row>
    <row r="27" spans="2:17" outlineLevel="1">
      <c r="F27" s="156" t="s">
        <v>14</v>
      </c>
      <c r="G27" s="156"/>
      <c r="H27" s="157" t="str">
        <f>Model_Exports_ME_TO!B1</f>
        <v>Model Exports (To BPM-SMA 13-Best Practice Model Example 1)</v>
      </c>
      <c r="I27" s="157"/>
      <c r="J27" s="157"/>
      <c r="K27" s="157"/>
      <c r="L27" s="157"/>
      <c r="M27" s="157"/>
      <c r="N27" s="157"/>
      <c r="O27" s="157"/>
      <c r="P27" s="157"/>
      <c r="Q27" s="17">
        <v>18</v>
      </c>
    </row>
    <row r="28" spans="2:17" ht="11.25">
      <c r="D28" s="154" t="s">
        <v>19</v>
      </c>
      <c r="E28" s="154"/>
      <c r="F28" s="155" t="str">
        <f>Checks_SSC!C9</f>
        <v>Checks</v>
      </c>
      <c r="G28" s="155"/>
      <c r="H28" s="155"/>
      <c r="I28" s="155"/>
      <c r="J28" s="155"/>
      <c r="K28" s="155"/>
      <c r="L28" s="155"/>
      <c r="M28" s="155"/>
      <c r="N28" s="155"/>
      <c r="O28" s="155"/>
      <c r="P28" s="155"/>
      <c r="Q28" s="16">
        <v>20</v>
      </c>
    </row>
    <row r="29" spans="2:17" outlineLevel="1">
      <c r="F29" s="156" t="s">
        <v>14</v>
      </c>
      <c r="G29" s="156"/>
      <c r="H29" s="157" t="str">
        <f>Checks_BO!B1</f>
        <v>Checks</v>
      </c>
      <c r="I29" s="157"/>
      <c r="J29" s="157"/>
      <c r="K29" s="157"/>
      <c r="L29" s="157"/>
      <c r="M29" s="157"/>
      <c r="N29" s="157"/>
      <c r="O29" s="157"/>
      <c r="P29" s="157"/>
      <c r="Q29" s="17">
        <v>21</v>
      </c>
    </row>
    <row r="30" spans="2:17" outlineLevel="1">
      <c r="H30" s="18" t="s">
        <v>4</v>
      </c>
      <c r="I30" s="151" t="str">
        <f>TOC_Hdg_6</f>
        <v>Error Checks</v>
      </c>
      <c r="J30" s="151"/>
      <c r="K30" s="151"/>
      <c r="L30" s="151"/>
      <c r="M30" s="151"/>
      <c r="N30" s="151"/>
      <c r="O30" s="151"/>
      <c r="P30" s="151"/>
      <c r="Q30" s="18" t="s">
        <v>4</v>
      </c>
    </row>
    <row r="31" spans="2:17" outlineLevel="1">
      <c r="H31" s="18" t="s">
        <v>4</v>
      </c>
      <c r="I31" s="151" t="str">
        <f>TOC_Hdg_7</f>
        <v>Sensitivity Checks</v>
      </c>
      <c r="J31" s="151"/>
      <c r="K31" s="151"/>
      <c r="L31" s="151"/>
      <c r="M31" s="151"/>
      <c r="N31" s="151"/>
      <c r="O31" s="151"/>
      <c r="P31" s="151"/>
      <c r="Q31" s="18" t="s">
        <v>4</v>
      </c>
    </row>
    <row r="32" spans="2:17" outlineLevel="1">
      <c r="H32" s="18" t="s">
        <v>4</v>
      </c>
      <c r="I32" s="151" t="str">
        <f>TOC_Hdg_8</f>
        <v>Alert Checks</v>
      </c>
      <c r="J32" s="151"/>
      <c r="K32" s="151"/>
      <c r="L32" s="151"/>
      <c r="M32" s="151"/>
      <c r="N32" s="151"/>
      <c r="O32" s="151"/>
      <c r="P32" s="151"/>
      <c r="Q32" s="18" t="s">
        <v>4</v>
      </c>
    </row>
    <row r="33" spans="2:17" ht="11.25">
      <c r="D33" s="154" t="s">
        <v>20</v>
      </c>
      <c r="E33" s="154"/>
      <c r="F33" s="155" t="str">
        <f>LU_SSC!C9</f>
        <v>Lookup Tables</v>
      </c>
      <c r="G33" s="155"/>
      <c r="H33" s="155"/>
      <c r="I33" s="155"/>
      <c r="J33" s="155"/>
      <c r="K33" s="155"/>
      <c r="L33" s="155"/>
      <c r="M33" s="155"/>
      <c r="N33" s="155"/>
      <c r="O33" s="155"/>
      <c r="P33" s="155"/>
      <c r="Q33" s="16">
        <v>24</v>
      </c>
    </row>
    <row r="34" spans="2:17" outlineLevel="1">
      <c r="F34" s="156" t="s">
        <v>14</v>
      </c>
      <c r="G34" s="156"/>
      <c r="H34" s="157" t="str">
        <f>TS_LU!B1</f>
        <v>Time Series Lookup Tables</v>
      </c>
      <c r="I34" s="157"/>
      <c r="J34" s="157"/>
      <c r="K34" s="157"/>
      <c r="L34" s="157"/>
      <c r="M34" s="157"/>
      <c r="N34" s="157"/>
      <c r="O34" s="157"/>
      <c r="P34" s="157"/>
      <c r="Q34" s="17">
        <v>25</v>
      </c>
    </row>
    <row r="36" spans="2:17" ht="16.899999999999999" customHeight="1">
      <c r="B36" s="19" t="s">
        <v>21</v>
      </c>
      <c r="Q36" s="20">
        <v>27</v>
      </c>
    </row>
  </sheetData>
  <mergeCells count="46">
    <mergeCell ref="H10:P10"/>
    <mergeCell ref="B8:C8"/>
    <mergeCell ref="D8:P8"/>
    <mergeCell ref="F34:G34"/>
    <mergeCell ref="H34:P34"/>
    <mergeCell ref="F27:G27"/>
    <mergeCell ref="H27:P27"/>
    <mergeCell ref="D28:E28"/>
    <mergeCell ref="F28:P28"/>
    <mergeCell ref="F29:G29"/>
    <mergeCell ref="H29:P29"/>
    <mergeCell ref="I30:P30"/>
    <mergeCell ref="I31:P31"/>
    <mergeCell ref="I32:P32"/>
    <mergeCell ref="D33:E33"/>
    <mergeCell ref="F33:P33"/>
    <mergeCell ref="D26:E26"/>
    <mergeCell ref="F26:P26"/>
    <mergeCell ref="I18:P18"/>
    <mergeCell ref="B19:C19"/>
    <mergeCell ref="D19:P19"/>
    <mergeCell ref="D20:E20"/>
    <mergeCell ref="F20:P20"/>
    <mergeCell ref="F21:G21"/>
    <mergeCell ref="H21:P21"/>
    <mergeCell ref="I22:P22"/>
    <mergeCell ref="I23:P23"/>
    <mergeCell ref="I24:P24"/>
    <mergeCell ref="B25:C25"/>
    <mergeCell ref="D25:P25"/>
    <mergeCell ref="B3:I3"/>
    <mergeCell ref="I17:P17"/>
    <mergeCell ref="B11:C11"/>
    <mergeCell ref="D11:P11"/>
    <mergeCell ref="D12:E12"/>
    <mergeCell ref="F12:P12"/>
    <mergeCell ref="F13:G13"/>
    <mergeCell ref="H13:P13"/>
    <mergeCell ref="D14:E14"/>
    <mergeCell ref="F14:P14"/>
    <mergeCell ref="F15:G15"/>
    <mergeCell ref="H15:P15"/>
    <mergeCell ref="I16:P16"/>
    <mergeCell ref="D9:E9"/>
    <mergeCell ref="F9:P9"/>
    <mergeCell ref="F10:G10"/>
  </mergeCells>
  <hyperlinks>
    <hyperlink ref="B8" location="HL_Sheet_Main_2" tooltip="Go to Overview" display="HL_Sheet_Main_2"/>
    <hyperlink ref="D8" location="HL_Sheet_Main_2" tooltip="Go to Overview" display="HL_Sheet_Main_2"/>
    <hyperlink ref="Q8" location="HL_Sheet_Main_2" tooltip="Go to Overview" display="HL_Sheet_Main_2"/>
    <hyperlink ref="D9" location="HL_Sheet_Main_3" tooltip="Go to Notes" display="HL_Sheet_Main_3"/>
    <hyperlink ref="F9" location="HL_Sheet_Main_3" tooltip="Go to Notes" display="HL_Sheet_Main_3"/>
    <hyperlink ref="Q9" location="HL_Sheet_Main_3" tooltip="Go to Notes" display="HL_Sheet_Main_3"/>
    <hyperlink ref="F10" location="HL_Sheet_Main" tooltip="Go to Linked Workbooks Diagram" display="HL_Sheet_Main"/>
    <hyperlink ref="H10" location="HL_Sheet_Main" tooltip="Go to Linked Workbooks Diagram" display="HL_Sheet_Main"/>
    <hyperlink ref="Q10" location="HL_Sheet_Main" tooltip="Go to Linked Workbooks Diagram" display="HL_Sheet_Main"/>
    <hyperlink ref="B11" location="HL_Sheet_Main_11" tooltip="Go to Assumptions" display="HL_Sheet_Main_11"/>
    <hyperlink ref="D11" location="HL_Sheet_Main_11" tooltip="Go to Assumptions" display="HL_Sheet_Main_11"/>
    <hyperlink ref="Q11" location="HL_Sheet_Main_11" tooltip="Go to Assumptions" display="HL_Sheet_Main_11"/>
    <hyperlink ref="D12" location="HL_Sheet_Main_4" tooltip="Go to Time Series Assumptions" display="HL_Sheet_Main_4"/>
    <hyperlink ref="F12" location="HL_Sheet_Main_4" tooltip="Go to Time Series Assumptions" display="HL_Sheet_Main_4"/>
    <hyperlink ref="Q12" location="HL_Sheet_Main_4" tooltip="Go to Time Series Assumptions" display="HL_Sheet_Main_4"/>
    <hyperlink ref="F13" location="HL_Sheet_Main_10" tooltip="Go to Time Series Assumptions" display="HL_Sheet_Main_10"/>
    <hyperlink ref="H13" location="HL_Sheet_Main_10" tooltip="Go to Time Series Assumptions" display="HL_Sheet_Main_10"/>
    <hyperlink ref="Q13" location="HL_Sheet_Main_10" tooltip="Go to Time Series Assumptions" display="HL_Sheet_Main_10"/>
    <hyperlink ref="D14" location="HL_Sheet_Main_5" tooltip="Go to Forecast Assumptions" display="HL_Sheet_Main_5"/>
    <hyperlink ref="F14" location="HL_Sheet_Main_5" tooltip="Go to Forecast Assumptions" display="HL_Sheet_Main_5"/>
    <hyperlink ref="Q14" location="HL_Sheet_Main_5" tooltip="Go to Forecast Assumptions" display="HL_Sheet_Main_5"/>
    <hyperlink ref="F15" location="HL_Sheet_Main_12" tooltip="Go to Assumptions" display="HL_Sheet_Main_12"/>
    <hyperlink ref="H15" location="HL_Sheet_Main_12" tooltip="Go to Assumptions" display="HL_Sheet_Main_12"/>
    <hyperlink ref="Q15" location="HL_Sheet_Main_12" tooltip="Go to Assumptions" display="HL_Sheet_Main_12"/>
    <hyperlink ref="H16" location="HL_TOC_5" tooltip="Go to Operational - Assumptions" display="HL_TOC_5"/>
    <hyperlink ref="I16" location="HL_TOC_5" tooltip="Go to Operational - Assumptions" display="HL_TOC_5"/>
    <hyperlink ref="Q16" location="HL_TOC_5" tooltip="Go to Operational - Assumptions" display="HL_TOC_5"/>
    <hyperlink ref="H17" location="HL_TOC_9" tooltip="Go to Working Capital - Assumptions" display="HL_TOC_9"/>
    <hyperlink ref="I17" location="HL_TOC_9" tooltip="Go to Working Capital - Assumptions" display="HL_TOC_9"/>
    <hyperlink ref="Q17" location="HL_TOC_9" tooltip="Go to Working Capital - Assumptions" display="HL_TOC_9"/>
    <hyperlink ref="H18" location="HL_TOC_10" tooltip="Go to Assets - Assumptions" display="HL_TOC_10"/>
    <hyperlink ref="I18" location="HL_TOC_10" tooltip="Go to Assets - Assumptions" display="HL_TOC_10"/>
    <hyperlink ref="Q18" location="HL_TOC_10" tooltip="Go to Assets - Assumptions" display="HL_TOC_10"/>
    <hyperlink ref="B19" location="HL_Sheet_Main_16" tooltip="Go to Outputs" display="HL_Sheet_Main_16"/>
    <hyperlink ref="D19" location="HL_Sheet_Main_16" tooltip="Go to Outputs" display="HL_Sheet_Main_16"/>
    <hyperlink ref="Q19" location="HL_Sheet_Main_16" tooltip="Go to Outputs" display="HL_Sheet_Main_16"/>
    <hyperlink ref="D20" location="HL_Sheet_Main_15" tooltip="Go to Forecast Outputs" display="HL_Sheet_Main_15"/>
    <hyperlink ref="F20" location="HL_Sheet_Main_15" tooltip="Go to Forecast Outputs" display="HL_Sheet_Main_15"/>
    <hyperlink ref="Q20" location="HL_Sheet_Main_15" tooltip="Go to Forecast Outputs" display="HL_Sheet_Main_15"/>
    <hyperlink ref="F21" location="HL_Sheet_Main_17" tooltip="Go to Outputs" display="HL_Sheet_Main_17"/>
    <hyperlink ref="H21" location="HL_Sheet_Main_17" tooltip="Go to Outputs" display="HL_Sheet_Main_17"/>
    <hyperlink ref="Q21" location="HL_Sheet_Main_17" tooltip="Go to Outputs" display="HL_Sheet_Main_17"/>
    <hyperlink ref="H22" location="HL_TOC_21" tooltip="Go to Operational - Outputs" display="HL_TOC_21"/>
    <hyperlink ref="I22" location="HL_TOC_21" tooltip="Go to Operational - Outputs" display="HL_TOC_21"/>
    <hyperlink ref="Q22" location="HL_TOC_21" tooltip="Go to Operational - Outputs" display="HL_TOC_21"/>
    <hyperlink ref="H23" location="HL_TOC_24" tooltip="Go to Working Capital - Outputs" display="HL_TOC_24"/>
    <hyperlink ref="I23" location="HL_TOC_24" tooltip="Go to Working Capital - Outputs" display="HL_TOC_24"/>
    <hyperlink ref="Q23" location="HL_TOC_24" tooltip="Go to Working Capital - Outputs" display="HL_TOC_24"/>
    <hyperlink ref="H24" location="HL_TOC_17" tooltip="Go to Assets - Outputs" display="HL_TOC_17"/>
    <hyperlink ref="I24" location="HL_TOC_17" tooltip="Go to Assets - Outputs" display="HL_TOC_17"/>
    <hyperlink ref="Q24" location="HL_TOC_17" tooltip="Go to Assets - Outputs" display="HL_TOC_17"/>
    <hyperlink ref="B25" location="HL_Sheet_Main_39" tooltip="Go to Appendices" display="HL_Sheet_Main_39"/>
    <hyperlink ref="D25" location="HL_Sheet_Main_39" tooltip="Go to Appendices" display="HL_Sheet_Main_39"/>
    <hyperlink ref="Q25" location="HL_Sheet_Main_39" tooltip="Go to Appendices" display="HL_Sheet_Main_39"/>
    <hyperlink ref="D26" location="HL_Sheet_Main_8" tooltip="Go to Model Exports" display="HL_Sheet_Main_8"/>
    <hyperlink ref="F26" location="HL_Sheet_Main_8" tooltip="Go to Model Exports" display="HL_Sheet_Main_8"/>
    <hyperlink ref="Q26" location="HL_Sheet_Main_8" tooltip="Go to Model Exports" display="HL_Sheet_Main_8"/>
    <hyperlink ref="F27" location="HL_Sheet_Main_21" tooltip="Go to Model Exports (To BPM-SMA 13-Best Practice Model Example 1)" display="HL_Sheet_Main_21"/>
    <hyperlink ref="H27" location="HL_Sheet_Main_21" tooltip="Go to Model Exports (To BPM-SMA 13-Best Practice Model Example 1)" display="HL_Sheet_Main_21"/>
    <hyperlink ref="Q27" location="HL_Sheet_Main_21" tooltip="Go to Model Exports (To BPM-SMA 13-Best Practice Model Example 1)" display="HL_Sheet_Main_21"/>
    <hyperlink ref="D28" location="HL_Sheet_Main_13" tooltip="Go to Checks" display="HL_Sheet_Main_13"/>
    <hyperlink ref="F28" location="HL_Sheet_Main_13" tooltip="Go to Checks" display="HL_Sheet_Main_13"/>
    <hyperlink ref="Q28" location="HL_Sheet_Main_13" tooltip="Go to Checks" display="HL_Sheet_Main_13"/>
    <hyperlink ref="F29" location="HL_Sheet_Main_14" tooltip="Go to Checks" display="HL_Sheet_Main_14"/>
    <hyperlink ref="H29" location="HL_Sheet_Main_14" tooltip="Go to Checks" display="HL_Sheet_Main_14"/>
    <hyperlink ref="Q29" location="HL_Sheet_Main_14" tooltip="Go to Checks" display="HL_Sheet_Main_14"/>
    <hyperlink ref="H30" location="HL_TOC_6" tooltip="Go to Error Checks" display="HL_TOC_6"/>
    <hyperlink ref="I30" location="HL_TOC_6" tooltip="Go to Error Checks" display="HL_TOC_6"/>
    <hyperlink ref="Q30" location="HL_TOC_6" tooltip="Go to Error Checks" display="HL_TOC_6"/>
    <hyperlink ref="H31" location="HL_TOC_7" tooltip="Go to Sensitivity Checks" display="HL_TOC_7"/>
    <hyperlink ref="I31" location="HL_TOC_7" tooltip="Go to Sensitivity Checks" display="HL_TOC_7"/>
    <hyperlink ref="Q31" location="HL_TOC_7" tooltip="Go to Sensitivity Checks" display="HL_TOC_7"/>
    <hyperlink ref="H32" location="HL_TOC_8" tooltip="Go to Alert Checks" display="HL_TOC_8"/>
    <hyperlink ref="I32" location="HL_TOC_8" tooltip="Go to Alert Checks" display="HL_TOC_8"/>
    <hyperlink ref="Q32" location="HL_TOC_8" tooltip="Go to Alert Checks" display="HL_TOC_8"/>
    <hyperlink ref="D33" location="HL_Sheet_Main_40" tooltip="Go to Lookup Tables" display="HL_Sheet_Main_40"/>
    <hyperlink ref="F33" location="HL_Sheet_Main_40" tooltip="Go to Lookup Tables" display="HL_Sheet_Main_40"/>
    <hyperlink ref="Q33" location="HL_Sheet_Main_40" tooltip="Go to Lookup Tables" display="HL_Sheet_Main_40"/>
    <hyperlink ref="F34" location="HL_Sheet_Main_9" tooltip="Go to Time Series Lookup Tables" display="HL_Sheet_Main_9"/>
    <hyperlink ref="H34" location="HL_Sheet_Main_9" tooltip="Go to Time Series Lookup Tables" display="HL_Sheet_Main_9"/>
    <hyperlink ref="Q34" location="HL_Sheet_Main_9" tooltip="Go to Time Series Lookup Tables" display="HL_Sheet_Main_9"/>
    <hyperlink ref="A6" location="$B$7" tooltip="Go to Top of Sheet" display="$B$7"/>
    <hyperlink ref="B3" location="'Cover'!A1" tooltip="Go to Cover Sheet" display="'Cover'!A1"/>
  </hyperlinks>
  <pageMargins left="0.39370078740157499" right="0.39370078740157499" top="0.59055118110236204" bottom="0.98425196850393704" header="0" footer="0.31496062992126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20">
    <pageSetUpPr autoPageBreaks="0"/>
  </sheetPr>
  <dimension ref="A1:F105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/>
  <cols>
    <col min="1" max="3" width="3.83203125" style="2" customWidth="1"/>
    <col min="4" max="4" width="35.83203125" style="2" customWidth="1"/>
    <col min="5" max="5" width="3.83203125" style="2" customWidth="1"/>
    <col min="6" max="6" width="35.83203125" style="2" customWidth="1"/>
    <col min="7" max="7" width="3.83203125" style="2" customWidth="1"/>
    <col min="8" max="256" width="11.83203125" style="2" customWidth="1"/>
    <col min="257" max="16384" width="9.33203125" style="2"/>
  </cols>
  <sheetData>
    <row r="1" spans="1:6" ht="18">
      <c r="B1" s="1" t="s">
        <v>188</v>
      </c>
    </row>
    <row r="2" spans="1:6" ht="15">
      <c r="B2" s="8" t="str">
        <f>Model_Name</f>
        <v>SMA 13. Multiple Workbooks - Best Practice Model Example 2</v>
      </c>
    </row>
    <row r="3" spans="1:6">
      <c r="B3" s="150" t="s">
        <v>1</v>
      </c>
      <c r="C3" s="150"/>
      <c r="D3" s="150"/>
    </row>
    <row r="4" spans="1:6" ht="12.75">
      <c r="A4" s="94" t="s">
        <v>10</v>
      </c>
      <c r="B4" s="22" t="s">
        <v>24</v>
      </c>
      <c r="C4" s="23"/>
    </row>
    <row r="7" spans="1:6" ht="12.75">
      <c r="B7" s="131" t="s">
        <v>188</v>
      </c>
    </row>
    <row r="9" spans="1:6" ht="11.25">
      <c r="C9" s="19" t="s">
        <v>189</v>
      </c>
      <c r="F9" s="19" t="s">
        <v>190</v>
      </c>
    </row>
    <row r="11" spans="1:6">
      <c r="D11" s="146" t="s">
        <v>189</v>
      </c>
      <c r="F11" s="24" t="s">
        <v>191</v>
      </c>
    </row>
    <row r="12" spans="1:6">
      <c r="D12" s="147">
        <v>1</v>
      </c>
    </row>
    <row r="13" spans="1:6">
      <c r="D13" s="148">
        <f t="shared" ref="D13:D42" si="0">D12+1</f>
        <v>2</v>
      </c>
    </row>
    <row r="14" spans="1:6">
      <c r="D14" s="148">
        <f t="shared" si="0"/>
        <v>3</v>
      </c>
    </row>
    <row r="15" spans="1:6">
      <c r="D15" s="148">
        <f t="shared" si="0"/>
        <v>4</v>
      </c>
    </row>
    <row r="16" spans="1:6">
      <c r="D16" s="148">
        <f t="shared" si="0"/>
        <v>5</v>
      </c>
    </row>
    <row r="17" spans="4:4">
      <c r="D17" s="148">
        <f t="shared" si="0"/>
        <v>6</v>
      </c>
    </row>
    <row r="18" spans="4:4">
      <c r="D18" s="148">
        <f t="shared" si="0"/>
        <v>7</v>
      </c>
    </row>
    <row r="19" spans="4:4">
      <c r="D19" s="148">
        <f t="shared" si="0"/>
        <v>8</v>
      </c>
    </row>
    <row r="20" spans="4:4">
      <c r="D20" s="148">
        <f t="shared" si="0"/>
        <v>9</v>
      </c>
    </row>
    <row r="21" spans="4:4">
      <c r="D21" s="148">
        <f t="shared" si="0"/>
        <v>10</v>
      </c>
    </row>
    <row r="22" spans="4:4">
      <c r="D22" s="148">
        <f t="shared" si="0"/>
        <v>11</v>
      </c>
    </row>
    <row r="23" spans="4:4">
      <c r="D23" s="148">
        <f t="shared" si="0"/>
        <v>12</v>
      </c>
    </row>
    <row r="24" spans="4:4">
      <c r="D24" s="148">
        <f t="shared" si="0"/>
        <v>13</v>
      </c>
    </row>
    <row r="25" spans="4:4">
      <c r="D25" s="148">
        <f t="shared" si="0"/>
        <v>14</v>
      </c>
    </row>
    <row r="26" spans="4:4">
      <c r="D26" s="148">
        <f t="shared" si="0"/>
        <v>15</v>
      </c>
    </row>
    <row r="27" spans="4:4">
      <c r="D27" s="148">
        <f t="shared" si="0"/>
        <v>16</v>
      </c>
    </row>
    <row r="28" spans="4:4">
      <c r="D28" s="148">
        <f t="shared" si="0"/>
        <v>17</v>
      </c>
    </row>
    <row r="29" spans="4:4">
      <c r="D29" s="148">
        <f t="shared" si="0"/>
        <v>18</v>
      </c>
    </row>
    <row r="30" spans="4:4">
      <c r="D30" s="148">
        <f t="shared" si="0"/>
        <v>19</v>
      </c>
    </row>
    <row r="31" spans="4:4">
      <c r="D31" s="148">
        <f t="shared" si="0"/>
        <v>20</v>
      </c>
    </row>
    <row r="32" spans="4:4">
      <c r="D32" s="148">
        <f t="shared" si="0"/>
        <v>21</v>
      </c>
    </row>
    <row r="33" spans="3:6">
      <c r="D33" s="148">
        <f t="shared" si="0"/>
        <v>22</v>
      </c>
    </row>
    <row r="34" spans="3:6">
      <c r="D34" s="148">
        <f t="shared" si="0"/>
        <v>23</v>
      </c>
    </row>
    <row r="35" spans="3:6">
      <c r="D35" s="148">
        <f t="shared" si="0"/>
        <v>24</v>
      </c>
    </row>
    <row r="36" spans="3:6">
      <c r="D36" s="148">
        <f t="shared" si="0"/>
        <v>25</v>
      </c>
    </row>
    <row r="37" spans="3:6">
      <c r="D37" s="148">
        <f t="shared" si="0"/>
        <v>26</v>
      </c>
    </row>
    <row r="38" spans="3:6">
      <c r="D38" s="148">
        <f t="shared" si="0"/>
        <v>27</v>
      </c>
    </row>
    <row r="39" spans="3:6">
      <c r="D39" s="148">
        <f t="shared" si="0"/>
        <v>28</v>
      </c>
    </row>
    <row r="40" spans="3:6">
      <c r="D40" s="148">
        <f t="shared" si="0"/>
        <v>29</v>
      </c>
    </row>
    <row r="41" spans="3:6">
      <c r="D41" s="148">
        <f t="shared" si="0"/>
        <v>30</v>
      </c>
    </row>
    <row r="42" spans="3:6">
      <c r="D42" s="148">
        <f t="shared" si="0"/>
        <v>31</v>
      </c>
    </row>
    <row r="44" spans="3:6" ht="11.25">
      <c r="C44" s="19" t="s">
        <v>192</v>
      </c>
      <c r="F44" s="19" t="s">
        <v>190</v>
      </c>
    </row>
    <row r="46" spans="3:6">
      <c r="D46" s="146" t="s">
        <v>192</v>
      </c>
      <c r="F46" s="24" t="s">
        <v>193</v>
      </c>
    </row>
    <row r="47" spans="3:6">
      <c r="D47" s="149" t="s">
        <v>194</v>
      </c>
    </row>
    <row r="48" spans="3:6">
      <c r="D48" s="149" t="s">
        <v>195</v>
      </c>
    </row>
    <row r="49" spans="3:6">
      <c r="D49" s="149" t="s">
        <v>196</v>
      </c>
    </row>
    <row r="50" spans="3:6">
      <c r="D50" s="149" t="s">
        <v>197</v>
      </c>
    </row>
    <row r="51" spans="3:6">
      <c r="D51" s="149" t="s">
        <v>198</v>
      </c>
    </row>
    <row r="52" spans="3:6">
      <c r="D52" s="149" t="s">
        <v>199</v>
      </c>
    </row>
    <row r="53" spans="3:6">
      <c r="D53" s="149" t="s">
        <v>200</v>
      </c>
    </row>
    <row r="54" spans="3:6">
      <c r="D54" s="149" t="s">
        <v>201</v>
      </c>
    </row>
    <row r="55" spans="3:6">
      <c r="D55" s="149" t="s">
        <v>202</v>
      </c>
    </row>
    <row r="56" spans="3:6">
      <c r="D56" s="149" t="s">
        <v>203</v>
      </c>
    </row>
    <row r="57" spans="3:6">
      <c r="D57" s="149" t="s">
        <v>204</v>
      </c>
    </row>
    <row r="58" spans="3:6">
      <c r="D58" s="149" t="s">
        <v>205</v>
      </c>
    </row>
    <row r="60" spans="3:6" ht="11.25">
      <c r="C60" s="19" t="s">
        <v>75</v>
      </c>
      <c r="F60" s="19" t="s">
        <v>190</v>
      </c>
    </row>
    <row r="62" spans="3:6">
      <c r="D62" s="146" t="s">
        <v>75</v>
      </c>
      <c r="F62" s="24" t="s">
        <v>206</v>
      </c>
    </row>
    <row r="63" spans="3:6">
      <c r="D63" s="149" t="s">
        <v>207</v>
      </c>
      <c r="F63" s="24" t="s">
        <v>208</v>
      </c>
    </row>
    <row r="64" spans="3:6">
      <c r="D64" s="149" t="s">
        <v>209</v>
      </c>
      <c r="F64" s="24" t="s">
        <v>210</v>
      </c>
    </row>
    <row r="65" spans="3:6">
      <c r="D65" s="149" t="s">
        <v>211</v>
      </c>
      <c r="F65" s="24" t="s">
        <v>212</v>
      </c>
    </row>
    <row r="66" spans="3:6">
      <c r="D66" s="149" t="s">
        <v>213</v>
      </c>
      <c r="F66" s="24" t="s">
        <v>214</v>
      </c>
    </row>
    <row r="68" spans="3:6" ht="11.25">
      <c r="C68" s="19" t="s">
        <v>88</v>
      </c>
      <c r="F68" s="19" t="s">
        <v>190</v>
      </c>
    </row>
    <row r="70" spans="3:6">
      <c r="D70" s="146" t="s">
        <v>88</v>
      </c>
      <c r="F70" s="24" t="s">
        <v>215</v>
      </c>
    </row>
    <row r="71" spans="3:6">
      <c r="D71" s="149" t="s">
        <v>216</v>
      </c>
    </row>
    <row r="72" spans="3:6">
      <c r="D72" s="149" t="s">
        <v>217</v>
      </c>
    </row>
    <row r="74" spans="3:6" ht="11.25">
      <c r="C74" s="19" t="s">
        <v>61</v>
      </c>
      <c r="F74" s="19" t="s">
        <v>190</v>
      </c>
    </row>
    <row r="76" spans="3:6">
      <c r="D76" s="146" t="s">
        <v>61</v>
      </c>
      <c r="F76" s="24" t="s">
        <v>218</v>
      </c>
    </row>
    <row r="77" spans="3:6">
      <c r="D77" s="149" t="s">
        <v>219</v>
      </c>
      <c r="F77" s="24" t="s">
        <v>219</v>
      </c>
    </row>
    <row r="78" spans="3:6">
      <c r="D78" s="149" t="s">
        <v>220</v>
      </c>
      <c r="F78" s="24" t="s">
        <v>221</v>
      </c>
    </row>
    <row r="79" spans="3:6">
      <c r="D79" s="149" t="s">
        <v>222</v>
      </c>
      <c r="F79" s="24" t="s">
        <v>223</v>
      </c>
    </row>
    <row r="80" spans="3:6">
      <c r="D80" s="149" t="s">
        <v>224</v>
      </c>
      <c r="F80" s="24" t="s">
        <v>225</v>
      </c>
    </row>
    <row r="82" spans="3:6" ht="11.25">
      <c r="C82" s="19" t="s">
        <v>226</v>
      </c>
      <c r="F82" s="19" t="s">
        <v>190</v>
      </c>
    </row>
    <row r="84" spans="3:6">
      <c r="D84" s="146" t="s">
        <v>226</v>
      </c>
      <c r="F84" s="24" t="s">
        <v>227</v>
      </c>
    </row>
    <row r="85" spans="3:6">
      <c r="D85" s="149" t="s">
        <v>228</v>
      </c>
      <c r="F85" s="24" t="s">
        <v>229</v>
      </c>
    </row>
    <row r="86" spans="3:6">
      <c r="D86" s="149" t="s">
        <v>230</v>
      </c>
      <c r="F86" s="24" t="s">
        <v>231</v>
      </c>
    </row>
    <row r="87" spans="3:6">
      <c r="D87" s="149" t="s">
        <v>232</v>
      </c>
      <c r="F87" s="24" t="s">
        <v>233</v>
      </c>
    </row>
    <row r="88" spans="3:6">
      <c r="D88" s="149" t="s">
        <v>234</v>
      </c>
      <c r="F88" s="24" t="s">
        <v>235</v>
      </c>
    </row>
    <row r="90" spans="3:6" ht="11.25">
      <c r="C90" s="19" t="s">
        <v>70</v>
      </c>
      <c r="F90" s="19" t="s">
        <v>190</v>
      </c>
    </row>
    <row r="92" spans="3:6">
      <c r="D92" s="146" t="s">
        <v>70</v>
      </c>
      <c r="F92" s="24" t="s">
        <v>236</v>
      </c>
    </row>
    <row r="93" spans="3:6">
      <c r="D93" s="147">
        <v>1</v>
      </c>
      <c r="F93" s="24" t="s">
        <v>237</v>
      </c>
    </row>
    <row r="94" spans="3:6">
      <c r="D94" s="147">
        <v>2</v>
      </c>
      <c r="F94" s="24" t="s">
        <v>238</v>
      </c>
    </row>
    <row r="95" spans="3:6">
      <c r="D95" s="147">
        <v>4</v>
      </c>
      <c r="F95" s="24" t="s">
        <v>239</v>
      </c>
    </row>
    <row r="96" spans="3:6">
      <c r="D96" s="147">
        <v>12</v>
      </c>
      <c r="F96" s="24" t="s">
        <v>240</v>
      </c>
    </row>
    <row r="98" spans="3:6" ht="11.25">
      <c r="C98" s="19" t="s">
        <v>241</v>
      </c>
      <c r="F98" s="19" t="s">
        <v>190</v>
      </c>
    </row>
    <row r="100" spans="3:6">
      <c r="D100" s="146" t="s">
        <v>241</v>
      </c>
    </row>
    <row r="101" spans="3:6">
      <c r="D101" s="147">
        <v>10</v>
      </c>
      <c r="F101" s="24" t="s">
        <v>242</v>
      </c>
    </row>
    <row r="102" spans="3:6">
      <c r="D102" s="147">
        <v>100</v>
      </c>
      <c r="F102" s="24" t="s">
        <v>243</v>
      </c>
    </row>
    <row r="103" spans="3:6">
      <c r="D103" s="147">
        <v>1000</v>
      </c>
      <c r="F103" s="24" t="s">
        <v>244</v>
      </c>
    </row>
    <row r="104" spans="3:6">
      <c r="D104" s="147">
        <v>1000000</v>
      </c>
      <c r="F104" s="24" t="s">
        <v>245</v>
      </c>
    </row>
    <row r="105" spans="3:6">
      <c r="D105" s="147">
        <v>1000000000</v>
      </c>
      <c r="F105" s="24" t="s">
        <v>246</v>
      </c>
    </row>
  </sheetData>
  <mergeCells count="1">
    <mergeCell ref="B3:D3"/>
  </mergeCells>
  <hyperlinks>
    <hyperlink ref="B3" location="HL_Home" tooltip="Go to Table of Contents" display="HL_Home"/>
    <hyperlink ref="A4" location="$B$5" tooltip="Go to Top of Sheet" display="$B$5"/>
    <hyperlink ref="B4" location="HL_Sheet_Main_40" tooltip="Go to Previous Sheet" display="HL_Sheet_Main_40"/>
  </hyperlinks>
  <pageMargins left="0.39370078740157483" right="0.39370078740157483" top="0.59055118110236227" bottom="0.98425196850393704" header="0" footer="0.31496062992125984"/>
  <pageSetup paperSize="9" orientation="landscape" r:id="rId1"/>
  <headerFooter>
    <oddFooter>&amp;L&amp;F
&amp;A
Printed: &amp;T on &amp;D&amp;CPage &amp;P of &amp;N&amp;R&amp;G</oddFooter>
  </headerFooter>
  <rowBreaks count="2" manualBreakCount="2">
    <brk id="43" min="1" max="6" man="1"/>
    <brk id="73" min="1" max="6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style="2" customWidth="1"/>
    <col min="3" max="6" width="3.83203125" style="2" customWidth="1"/>
    <col min="7" max="256" width="11.83203125" style="2" customWidth="1"/>
    <col min="257" max="16384" width="9.33203125" style="2"/>
  </cols>
  <sheetData>
    <row r="9" spans="3:7" ht="18">
      <c r="C9" s="1" t="s">
        <v>22</v>
      </c>
    </row>
    <row r="10" spans="3:7" ht="16.5">
      <c r="C10" s="21" t="s">
        <v>23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26</v>
      </c>
    </row>
    <row r="18" spans="3:3">
      <c r="C18" s="24" t="s">
        <v>27</v>
      </c>
    </row>
    <row r="19" spans="3:3">
      <c r="C19" s="24" t="s">
        <v>28</v>
      </c>
    </row>
    <row r="20" spans="3:3">
      <c r="C20" s="24" t="s">
        <v>29</v>
      </c>
    </row>
  </sheetData>
  <mergeCells count="1">
    <mergeCell ref="C12:G12"/>
  </mergeCells>
  <hyperlinks>
    <hyperlink ref="C12" location="HL_Home" tooltip="Go to Table of Contents" display="HL_Home"/>
    <hyperlink ref="C13" location="HL_Sheet_Main_24" tooltip="Go to Previous Sheet" display="HL_Sheet_Main_24"/>
    <hyperlink ref="D13" location="HL_Sheet_Main_3" tooltip="Go to Next Sheet" display="HL_Sheet_Main_3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style="2" customWidth="1"/>
    <col min="3" max="6" width="3.83203125" style="2" customWidth="1"/>
    <col min="7" max="256" width="11.83203125" style="2" customWidth="1"/>
    <col min="257" max="16384" width="9.33203125" style="2"/>
  </cols>
  <sheetData>
    <row r="9" spans="3:7" ht="18">
      <c r="C9" s="1" t="s">
        <v>30</v>
      </c>
    </row>
    <row r="10" spans="3:7" ht="16.5">
      <c r="C10" s="21" t="s">
        <v>31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32</v>
      </c>
    </row>
    <row r="18" spans="3:3">
      <c r="C18" s="24" t="s">
        <v>33</v>
      </c>
    </row>
    <row r="19" spans="3:3">
      <c r="C19" s="24" t="s">
        <v>34</v>
      </c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2" tooltip="Go to Previous Sheet" display="HL_Sheet_Main_2"/>
    <hyperlink ref="D13" location="HL_Sheet_Main" tooltip="Go to Next Sheet" display="HL_Sheet_Main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>
    <pageSetUpPr autoPageBreaks="0"/>
  </sheetPr>
  <dimension ref="A1:AO32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ColWidth="2.33203125" defaultRowHeight="10.5"/>
  <cols>
    <col min="1" max="1" width="3.83203125" style="25" customWidth="1"/>
    <col min="2" max="2" width="2.33203125" style="25" customWidth="1"/>
    <col min="3" max="16384" width="2.33203125" style="25"/>
  </cols>
  <sheetData>
    <row r="1" spans="1:41" ht="18">
      <c r="B1" s="26" t="s">
        <v>35</v>
      </c>
    </row>
    <row r="2" spans="1:41" ht="15">
      <c r="B2" s="27" t="str">
        <f>Model_Name</f>
        <v>SMA 13. Multiple Workbooks - Best Practice Model Example 2</v>
      </c>
    </row>
    <row r="3" spans="1:41">
      <c r="B3" s="163" t="s">
        <v>1</v>
      </c>
      <c r="C3" s="163"/>
      <c r="D3" s="163"/>
      <c r="E3" s="163"/>
      <c r="F3" s="163"/>
      <c r="G3" s="163"/>
      <c r="H3" s="163"/>
      <c r="I3" s="163"/>
      <c r="J3" s="163"/>
      <c r="K3" s="163"/>
      <c r="L3" s="163"/>
    </row>
    <row r="4" spans="1:41" ht="12.75">
      <c r="A4" s="28" t="s">
        <v>10</v>
      </c>
      <c r="B4" s="164" t="s">
        <v>24</v>
      </c>
      <c r="C4" s="164"/>
      <c r="D4" s="165" t="s">
        <v>25</v>
      </c>
      <c r="E4" s="165"/>
      <c r="F4" s="166" t="s">
        <v>36</v>
      </c>
      <c r="G4" s="166"/>
      <c r="H4" s="166" t="s">
        <v>37</v>
      </c>
      <c r="I4" s="166"/>
      <c r="J4" s="166" t="s">
        <v>38</v>
      </c>
      <c r="K4" s="166"/>
    </row>
    <row r="7" spans="1:41">
      <c r="V7" s="158" t="s">
        <v>39</v>
      </c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</row>
    <row r="8" spans="1:41"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</row>
    <row r="9" spans="1:41">
      <c r="V9" s="29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1"/>
    </row>
    <row r="10" spans="1:41">
      <c r="V10" s="32"/>
      <c r="W10" s="33" t="s">
        <v>40</v>
      </c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5"/>
    </row>
    <row r="11" spans="1:41">
      <c r="V11" s="32"/>
      <c r="W11" s="36" t="s">
        <v>41</v>
      </c>
      <c r="X11" s="37" t="s">
        <v>42</v>
      </c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5"/>
    </row>
    <row r="12" spans="1:41">
      <c r="V12" s="32"/>
      <c r="W12" s="38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5"/>
    </row>
    <row r="13" spans="1:41">
      <c r="V13" s="32"/>
      <c r="W13" s="33" t="s">
        <v>43</v>
      </c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5"/>
    </row>
    <row r="14" spans="1:41">
      <c r="V14" s="32"/>
      <c r="W14" s="36" t="s">
        <v>41</v>
      </c>
      <c r="X14" s="159" t="s">
        <v>44</v>
      </c>
      <c r="Y14" s="159"/>
      <c r="Z14" s="159"/>
      <c r="AA14" s="159"/>
      <c r="AB14" s="159"/>
      <c r="AC14" s="159"/>
      <c r="AD14" s="159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35"/>
    </row>
    <row r="15" spans="1:41">
      <c r="V15" s="32"/>
      <c r="W15" s="34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9"/>
      <c r="AO15" s="35"/>
    </row>
    <row r="16" spans="1:41">
      <c r="V16" s="39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1"/>
    </row>
    <row r="18" spans="22:41">
      <c r="AG18" s="42" t="s">
        <v>41</v>
      </c>
      <c r="AH18" s="25" t="s">
        <v>45</v>
      </c>
    </row>
    <row r="19" spans="22:41">
      <c r="AG19" s="42" t="s">
        <v>41</v>
      </c>
      <c r="AH19" s="25" t="s">
        <v>46</v>
      </c>
    </row>
    <row r="20" spans="22:41">
      <c r="AG20" s="42" t="s">
        <v>41</v>
      </c>
      <c r="AH20" s="25" t="s">
        <v>47</v>
      </c>
    </row>
    <row r="23" spans="22:41">
      <c r="V23" s="160" t="s">
        <v>48</v>
      </c>
      <c r="W23" s="160"/>
      <c r="X23" s="160"/>
      <c r="Y23" s="160"/>
      <c r="Z23" s="160"/>
      <c r="AA23" s="160"/>
      <c r="AB23" s="160"/>
      <c r="AC23" s="160"/>
      <c r="AD23" s="160"/>
      <c r="AE23" s="160"/>
      <c r="AF23" s="160"/>
      <c r="AG23" s="160"/>
      <c r="AH23" s="160"/>
      <c r="AI23" s="160"/>
      <c r="AJ23" s="160"/>
      <c r="AK23" s="160"/>
      <c r="AL23" s="160"/>
      <c r="AM23" s="160"/>
      <c r="AN23" s="160"/>
      <c r="AO23" s="160"/>
    </row>
    <row r="24" spans="22:41">
      <c r="V24" s="161"/>
      <c r="W24" s="161"/>
      <c r="X24" s="161"/>
      <c r="Y24" s="161"/>
      <c r="Z24" s="161"/>
      <c r="AA24" s="161"/>
      <c r="AB24" s="161"/>
      <c r="AC24" s="161"/>
      <c r="AD24" s="161"/>
      <c r="AE24" s="161"/>
      <c r="AF24" s="161"/>
      <c r="AG24" s="161"/>
      <c r="AH24" s="161"/>
      <c r="AI24" s="161"/>
      <c r="AJ24" s="161"/>
      <c r="AK24" s="161"/>
      <c r="AL24" s="161"/>
      <c r="AM24" s="161"/>
      <c r="AN24" s="161"/>
      <c r="AO24" s="161"/>
    </row>
    <row r="25" spans="22:41">
      <c r="V25" s="43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  <c r="AI25" s="44"/>
      <c r="AJ25" s="44"/>
      <c r="AK25" s="44"/>
      <c r="AL25" s="44"/>
      <c r="AM25" s="44"/>
      <c r="AN25" s="44"/>
      <c r="AO25" s="45"/>
    </row>
    <row r="26" spans="22:41">
      <c r="V26" s="46"/>
      <c r="W26" s="47" t="s">
        <v>40</v>
      </c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9"/>
    </row>
    <row r="27" spans="22:41">
      <c r="V27" s="46"/>
      <c r="W27" s="50" t="s">
        <v>41</v>
      </c>
      <c r="X27" s="48" t="s">
        <v>49</v>
      </c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9"/>
    </row>
    <row r="28" spans="22:41">
      <c r="V28" s="46"/>
      <c r="W28" s="51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9"/>
    </row>
    <row r="29" spans="22:41">
      <c r="V29" s="46"/>
      <c r="W29" s="47" t="s">
        <v>43</v>
      </c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9"/>
    </row>
    <row r="30" spans="22:41">
      <c r="V30" s="46"/>
      <c r="W30" s="50" t="s">
        <v>41</v>
      </c>
      <c r="X30" s="162" t="s">
        <v>50</v>
      </c>
      <c r="Y30" s="162"/>
      <c r="Z30" s="162"/>
      <c r="AA30" s="162"/>
      <c r="AB30" s="162"/>
      <c r="AC30" s="162"/>
      <c r="AD30" s="162"/>
      <c r="AE30" s="162"/>
      <c r="AF30" s="162"/>
      <c r="AG30" s="162"/>
      <c r="AH30" s="162"/>
      <c r="AI30" s="162"/>
      <c r="AJ30" s="162"/>
      <c r="AK30" s="162"/>
      <c r="AL30" s="162"/>
      <c r="AM30" s="162"/>
      <c r="AN30" s="162"/>
      <c r="AO30" s="49"/>
    </row>
    <row r="31" spans="22:41">
      <c r="V31" s="46"/>
      <c r="W31" s="48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49"/>
    </row>
    <row r="32" spans="22:41">
      <c r="V32" s="52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4"/>
    </row>
  </sheetData>
  <mergeCells count="10">
    <mergeCell ref="V7:AO8"/>
    <mergeCell ref="X14:AN15"/>
    <mergeCell ref="V23:AO24"/>
    <mergeCell ref="X30:AN31"/>
    <mergeCell ref="B3:L3"/>
    <mergeCell ref="B4:C4"/>
    <mergeCell ref="D4:E4"/>
    <mergeCell ref="F4:G4"/>
    <mergeCell ref="H4:I4"/>
    <mergeCell ref="J4:K4"/>
  </mergeCells>
  <hyperlinks>
    <hyperlink ref="B3" location="HL_Home" tooltip="Go to Table of Contents" display="HL_Home"/>
    <hyperlink ref="A4" location="$B$5" tooltip="Go to Top of Sheet" display="$B$5"/>
    <hyperlink ref="D4" location="HL_Sheet_Main_11" tooltip="Go to Next Sheet" display="HL_Sheet_Main_11"/>
    <hyperlink ref="B4" location="HL_Sheet_Main_3" tooltip="Go to Previous Sheet" display="HL_Sheet_Main_3"/>
    <hyperlink ref="F4" location="HL_Err_Chk" tooltip="Go to Error Checks" display="HL_Err_Chk"/>
    <hyperlink ref="H4" location="HL_Sens_Chk" tooltip="Go to Sensitivity Checks" display="HL_Sens_Chk"/>
    <hyperlink ref="J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horizontalDpi="1200" verticalDpi="1200" r:id="rId1"/>
  <headerFooter>
    <oddFooter>&amp;L&amp;F
&amp;A
Printed: &amp;T on &amp;D&amp;CPage &amp;P of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>
    <pageSetUpPr autoPageBreaks="0" fitToPage="1"/>
  </sheetPr>
  <dimension ref="C9:G20"/>
  <sheetViews>
    <sheetView showGridLines="0" zoomScaleNormal="100" workbookViewId="0"/>
  </sheetViews>
  <sheetFormatPr defaultRowHeight="10.5"/>
  <cols>
    <col min="1" max="2" width="11.83203125" style="2" customWidth="1"/>
    <col min="3" max="6" width="3.83203125" style="2" customWidth="1"/>
    <col min="7" max="256" width="11.83203125" style="2" customWidth="1"/>
    <col min="257" max="16384" width="9.33203125" style="2"/>
  </cols>
  <sheetData>
    <row r="9" spans="3:7" ht="18">
      <c r="C9" s="1" t="s">
        <v>51</v>
      </c>
    </row>
    <row r="10" spans="3:7" ht="16.5">
      <c r="C10" s="21" t="s">
        <v>52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26</v>
      </c>
    </row>
    <row r="18" spans="3:3">
      <c r="C18" s="24" t="s">
        <v>53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" tooltip="Go to Previous Sheet" display="HL_Sheet_Main"/>
    <hyperlink ref="D13" location="HL_Sheet_Main_4" tooltip="Go to Next Sheet" display="HL_Sheet_Main_4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1" max="2" width="11.83203125" style="2"/>
    <col min="3" max="6" width="3.83203125" style="2" customWidth="1"/>
    <col min="7" max="16384" width="11.83203125" style="2"/>
  </cols>
  <sheetData>
    <row r="9" spans="3:7" ht="18">
      <c r="C9" s="1" t="s">
        <v>54</v>
      </c>
    </row>
    <row r="10" spans="3:7" ht="16.5">
      <c r="C10" s="21" t="s">
        <v>55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56</v>
      </c>
    </row>
    <row r="18" spans="3:3">
      <c r="C18" s="24" t="s">
        <v>57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11" tooltip="Go to Previous Sheet" display="HL_Sheet_Main_11"/>
    <hyperlink ref="D13" location="HL_Sheet_Main_10" tooltip="Go to Next Sheet" display="HL_Sheet_Main_10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pageSetUpPr autoPageBreaks="0"/>
  </sheetPr>
  <dimension ref="A1:K65"/>
  <sheetViews>
    <sheetView showGridLines="0" zoomScaleNormal="100" workbookViewId="0">
      <pane xSplit="1" ySplit="4" topLeftCell="B5" activePane="bottomRight" state="frozen"/>
      <selection activeCell="C23" sqref="C23"/>
      <selection pane="topRight" activeCell="C23" sqref="C23"/>
      <selection pane="bottomLeft" activeCell="C23" sqref="C23"/>
      <selection pane="bottomRight"/>
    </sheetView>
  </sheetViews>
  <sheetFormatPr defaultRowHeight="10.5" outlineLevelRow="2"/>
  <cols>
    <col min="1" max="5" width="3.83203125" style="55" customWidth="1"/>
    <col min="6" max="256" width="11.83203125" style="55" customWidth="1"/>
    <col min="257" max="16384" width="9.33203125" style="55"/>
  </cols>
  <sheetData>
    <row r="1" spans="1:11" ht="18">
      <c r="B1" s="56" t="s">
        <v>54</v>
      </c>
    </row>
    <row r="2" spans="1:11" ht="15">
      <c r="B2" s="57" t="str">
        <f>Model_Name</f>
        <v>SMA 13. Multiple Workbooks - Best Practice Model Example 2</v>
      </c>
    </row>
    <row r="3" spans="1:11">
      <c r="B3" s="168" t="s">
        <v>1</v>
      </c>
      <c r="C3" s="168"/>
      <c r="D3" s="168"/>
      <c r="E3" s="168"/>
      <c r="F3" s="168"/>
    </row>
    <row r="4" spans="1:11" ht="12.75">
      <c r="A4" s="58" t="s">
        <v>10</v>
      </c>
      <c r="B4" s="59" t="s">
        <v>24</v>
      </c>
      <c r="C4" s="60" t="s">
        <v>25</v>
      </c>
      <c r="D4" s="61" t="s">
        <v>36</v>
      </c>
      <c r="E4" s="61" t="s">
        <v>37</v>
      </c>
      <c r="F4" s="62" t="s">
        <v>38</v>
      </c>
    </row>
    <row r="7" spans="1:11" ht="12.75">
      <c r="B7" s="63" t="s">
        <v>54</v>
      </c>
    </row>
    <row r="9" spans="1:11" ht="11.25">
      <c r="C9" s="64" t="s">
        <v>58</v>
      </c>
    </row>
    <row r="11" spans="1:11">
      <c r="D11" s="65" t="s">
        <v>59</v>
      </c>
      <c r="J11" s="169" t="s">
        <v>60</v>
      </c>
      <c r="K11" s="169"/>
    </row>
    <row r="12" spans="1:11">
      <c r="D12" s="65" t="s">
        <v>61</v>
      </c>
      <c r="J12" s="170" t="str">
        <f>Annual</f>
        <v>Annual</v>
      </c>
      <c r="K12" s="170"/>
    </row>
    <row r="13" spans="1:11" ht="15.75" customHeight="1">
      <c r="D13" s="65" t="s">
        <v>62</v>
      </c>
      <c r="J13" s="66">
        <v>31</v>
      </c>
      <c r="K13" s="66">
        <v>12</v>
      </c>
    </row>
    <row r="14" spans="1:11">
      <c r="D14" s="65" t="s">
        <v>63</v>
      </c>
      <c r="J14" s="171">
        <v>40179</v>
      </c>
      <c r="K14" s="172"/>
    </row>
    <row r="15" spans="1:11">
      <c r="D15" s="65" t="s">
        <v>64</v>
      </c>
      <c r="J15" s="173">
        <v>8</v>
      </c>
      <c r="K15" s="173"/>
    </row>
    <row r="16" spans="1:11" ht="10.5" hidden="1" customHeight="1" outlineLevel="2">
      <c r="D16" s="65" t="s">
        <v>65</v>
      </c>
      <c r="J16" s="170" t="str">
        <f>INDEX(LU_Period_Type_Names,MATCH(TS_Periodicity,LU_Periodicity,0))</f>
        <v>Year</v>
      </c>
      <c r="K16" s="170"/>
    </row>
    <row r="17" spans="3:11" ht="10.5" hidden="1" customHeight="1" outlineLevel="2">
      <c r="D17" s="65" t="s">
        <v>66</v>
      </c>
      <c r="J17" s="174" t="str">
        <f>CHOOSE(MATCH(TS_Periodicity,LU_Periodicity,0),Yr_Name,"H","Q","M")</f>
        <v>Year</v>
      </c>
      <c r="K17" s="174"/>
    </row>
    <row r="18" spans="3:11" ht="10.5" hidden="1" customHeight="1" outlineLevel="2">
      <c r="D18" s="65" t="s">
        <v>67</v>
      </c>
      <c r="J18" s="174" t="b">
        <f>OR(AND(DD_TS_Fin_YE_Day&gt;=28,DD_TS_Fin_YE_Mth=2),
DD_TS_Fin_YE_Day&gt;=DAY(EOMONTH(DATE(YEAR(TS_Start_Date),DD_TS_Fin_YE_Mth,1),0)))</f>
        <v>1</v>
      </c>
      <c r="K18" s="174"/>
    </row>
    <row r="19" spans="3:11" ht="10.5" hidden="1" customHeight="1" outlineLevel="2">
      <c r="D19" s="65" t="s">
        <v>68</v>
      </c>
      <c r="J19" s="175">
        <f>IF(TS_Mth_End,DATE(YEAR(TS_Per_1_FY_End_Date)-IF(TS_Per_1_FY_End_Date=EOMONTH(DATE(YEAR(TS_Per_1_FY_End_Date),Mths_In_Yr,1),0),0,1),MOD(MONTH(TS_Per_1_FY_End_Date),Mths_In_Yr)+1,1),
EDATE(TS_Per_1_FY_End_Date,-Mths_In_Yr)+1)</f>
        <v>40179</v>
      </c>
      <c r="K19" s="175"/>
    </row>
    <row r="20" spans="3:11" ht="10.5" hidden="1" customHeight="1" outlineLevel="2">
      <c r="D20" s="65" t="s">
        <v>69</v>
      </c>
      <c r="J20" s="175">
        <f>IF(TS_Mth_End,EOMONTH(DATE(YEAR(TS_Start_Date)+IF(MONTH(TS_Start_Date)&gt;DD_TS_Fin_YE_Mth,1,0),DD_TS_Fin_YE_Mth,1),0),
DATE(YEAR(TS_Start_Date)+IF(TS_Start_Date&gt;DATE(YEAR(TS_Start_Date),DD_TS_Fin_YE_Mth,DD_TS_Fin_YE_Day),1,0),DD_TS_Fin_YE_Mth,DD_TS_Fin_YE_Day))</f>
        <v>40543</v>
      </c>
      <c r="K20" s="175"/>
    </row>
    <row r="21" spans="3:11" ht="10.5" hidden="1" customHeight="1" outlineLevel="2">
      <c r="D21" s="65" t="s">
        <v>70</v>
      </c>
      <c r="J21" s="167">
        <f>INDEX(LU_Pers_In_Yr,MATCH(TS_Periodicity,LU_Periodicity,0))</f>
        <v>1</v>
      </c>
      <c r="K21" s="167"/>
    </row>
    <row r="22" spans="3:11" ht="10.5" hidden="1" customHeight="1" outlineLevel="2">
      <c r="D22" s="65" t="s">
        <v>71</v>
      </c>
      <c r="J22" s="167">
        <f>Mths_In_Yr/TS_Pers_In_Yr</f>
        <v>12</v>
      </c>
      <c r="K22" s="167"/>
    </row>
    <row r="23" spans="3:11" ht="10.5" hidden="1" customHeight="1" outlineLevel="2">
      <c r="D23" s="65" t="s">
        <v>72</v>
      </c>
      <c r="J23" s="167">
        <f>INT((((YEAR(TS_Start_Date)-YEAR(TS_Per_1_FY_Start_Date))*Mths_In_Yr+MONTH(TS_Start_Date)-MONTH(TS_Per_1_FY_Start_Date)+1
+IF(TS_Mth_End,0,
IF(TS_Start_Date&gt;(EDATE(TS_Per_1_FY_Start_Date,(YEAR(TS_Start_Date)-YEAR(TS_Per_1_FY_Start_Date))*Mths_In_Yr+MONTH(TS_Start_Date)-MONTH(TS_Per_1_FY_Start_Date)+1)-1),1,0)
-IF(TS_Start_Date&lt;EDATE(TS_Per_1_FY_Start_Date,(YEAR(TS_Start_Date)-YEAR(TS_Per_1_FY_Start_Date))*Mths_In_Yr+MONTH(TS_Start_Date)-MONTH(TS_Per_1_FY_Start_Date)),1,0)))-1)/TS_Mths_In_Per)+1</f>
        <v>1</v>
      </c>
      <c r="K23" s="167"/>
    </row>
    <row r="24" spans="3:11" ht="10.5" hidden="1" customHeight="1" outlineLevel="2">
      <c r="D24" s="65" t="s">
        <v>73</v>
      </c>
      <c r="J24" s="175">
        <f>IF(TS_Mth_End,EOMONTH(EDATE(TS_Per_1_FY_Start_Date,(TS_Per_1_Number-1)*TS_Mths_In_Per-1),0)+1,
EDATE(TS_Per_1_FY_Start_Date,(TS_Per_1_Number-1)*TS_Mths_In_Per))</f>
        <v>40179</v>
      </c>
      <c r="K24" s="175"/>
    </row>
    <row r="25" spans="3:11" ht="10.5" hidden="1" customHeight="1" outlineLevel="2">
      <c r="D25" s="65" t="s">
        <v>74</v>
      </c>
      <c r="J25" s="175">
        <f>IF(TS_Mth_End,EOMONTH(EDATE(TS_Per_1_FY_Start_Date,TS_Per_1_Number*TS_Mths_In_Per-1),0),
EDATE(TS_Per_1_FY_Start_Date,TS_Per_1_Number*TS_Mths_In_Per)-1)</f>
        <v>40543</v>
      </c>
      <c r="K25" s="175"/>
    </row>
    <row r="26" spans="3:11" ht="15.75" customHeight="1" collapsed="1">
      <c r="D26" s="65" t="s">
        <v>75</v>
      </c>
      <c r="J26" s="176">
        <v>2</v>
      </c>
      <c r="K26" s="177"/>
    </row>
    <row r="27" spans="3:11" ht="10.5" hidden="1" customHeight="1" outlineLevel="2">
      <c r="D27" s="65" t="s">
        <v>76</v>
      </c>
      <c r="J27" s="170" t="str">
        <f>INDEX(LU_Denom,DD_TS_Denom)</f>
        <v>$Millions</v>
      </c>
      <c r="K27" s="170"/>
    </row>
    <row r="28" spans="3:11" collapsed="1"/>
    <row r="29" spans="3:11" ht="11.25">
      <c r="C29" s="64" t="s">
        <v>77</v>
      </c>
    </row>
    <row r="31" spans="3:11" ht="17.25" customHeight="1">
      <c r="D31" s="65" t="s">
        <v>78</v>
      </c>
      <c r="J31" s="176" t="b">
        <v>1</v>
      </c>
      <c r="K31" s="177"/>
    </row>
    <row r="32" spans="3:11">
      <c r="D32" s="65" t="s">
        <v>79</v>
      </c>
      <c r="J32" s="178">
        <v>0</v>
      </c>
      <c r="K32" s="179"/>
    </row>
    <row r="33" spans="3:11">
      <c r="D33" s="65" t="s">
        <v>80</v>
      </c>
      <c r="J33" s="178">
        <v>0</v>
      </c>
      <c r="K33" s="179"/>
    </row>
    <row r="34" spans="3:11" ht="10.5" hidden="1" customHeight="1" outlineLevel="2">
      <c r="D34" s="65" t="s">
        <v>81</v>
      </c>
      <c r="J34" s="180" t="s">
        <v>82</v>
      </c>
      <c r="K34" s="181"/>
    </row>
    <row r="35" spans="3:11" ht="10.5" hidden="1" customHeight="1" outlineLevel="2">
      <c r="D35" s="65" t="s">
        <v>83</v>
      </c>
      <c r="J35" s="180" t="s">
        <v>84</v>
      </c>
      <c r="K35" s="181"/>
    </row>
    <row r="36" spans="3:11" ht="10.5" hidden="1" customHeight="1" outlineLevel="2">
      <c r="D36" s="65" t="s">
        <v>85</v>
      </c>
      <c r="J36" s="180" t="s">
        <v>86</v>
      </c>
      <c r="K36" s="181"/>
    </row>
    <row r="37" spans="3:11" collapsed="1"/>
    <row r="38" spans="3:11" ht="11.25">
      <c r="C38" s="64" t="s">
        <v>87</v>
      </c>
    </row>
    <row r="40" spans="3:11" ht="15.75" customHeight="1">
      <c r="D40" s="65" t="s">
        <v>88</v>
      </c>
      <c r="J40" s="176">
        <v>1</v>
      </c>
      <c r="K40" s="177"/>
    </row>
    <row r="41" spans="3:11">
      <c r="D41" s="65" t="s">
        <v>89</v>
      </c>
      <c r="J41" s="178">
        <v>3</v>
      </c>
      <c r="K41" s="179"/>
    </row>
    <row r="42" spans="3:11">
      <c r="D42" s="65" t="s">
        <v>90</v>
      </c>
      <c r="J42" s="171">
        <v>41275</v>
      </c>
      <c r="K42" s="172"/>
    </row>
    <row r="43" spans="3:11" hidden="1" outlineLevel="2"/>
    <row r="44" spans="3:11" hidden="1" outlineLevel="2">
      <c r="D44" s="67" t="s">
        <v>91</v>
      </c>
    </row>
    <row r="45" spans="3:11" hidden="1" outlineLevel="2"/>
    <row r="46" spans="3:11" ht="10.5" hidden="1" customHeight="1" outlineLevel="2">
      <c r="E46" s="65" t="s">
        <v>92</v>
      </c>
      <c r="J46" s="175">
        <f>TS_Proj_Start_Date-1</f>
        <v>41274</v>
      </c>
      <c r="K46" s="175"/>
    </row>
    <row r="47" spans="3:11" ht="10.5" hidden="1" customHeight="1" outlineLevel="2">
      <c r="E47" s="65" t="s">
        <v>93</v>
      </c>
      <c r="J47" s="182">
        <f>IF(TS_Data_End_Date&lt;TS_Start_Date,0,
MAX(0,INT((((YEAR(TS_Data_End_Date)-YEAR(TS_Per_1_FY_Start_Date))*Mths_In_Yr+MONTH(TS_Data_End_Date)-MONTH(TS_Per_1_FY_Start_Date)+1
+IF(TS_Mth_End,0,
IF(TS_Data_End_Date&gt;(EDATE(TS_Per_1_FY_Start_Date,(YEAR(TS_Data_End_Date)-YEAR(TS_Per_1_FY_Start_Date))*Mths_In_Yr+MONTH(TS_Data_End_Date)-MONTH(TS_Per_1_FY_Start_Date)+1)-1),1,0)
-IF(TS_Data_End_Date&lt;EDATE(TS_Per_1_FY_Start_Date,(YEAR(TS_Data_End_Date)-YEAR(TS_Per_1_FY_Start_Date))*Mths_In_Yr+MONTH(TS_Data_End_Date)-MONTH(TS_Per_1_FY_Start_Date)),1,0)))
-1)/TS_Mths_In_Per)-TS_Per_1_Number+2))</f>
        <v>3</v>
      </c>
      <c r="K47" s="182"/>
    </row>
    <row r="48" spans="3:11" ht="10.5" hidden="1" customHeight="1" outlineLevel="2">
      <c r="E48" s="65" t="s">
        <v>94</v>
      </c>
      <c r="J48" s="167">
        <f>IF(TS_Data_Total_Pers=0,0,
TS_Data_Total_Pers-IF(TS_Data_End_Date&lt;&gt;IF(TS_Data_Total_Pers=1,TS_Per_1_End_Date,
IF(TS_Mth_End,EOMONTH(EDATE(TS_Per_1_FY_Start_Date,(TS_Per_1_Number+TS_Data_Total_Pers-1)*TS_Mths_In_Per-1),0),
EDATE(TS_Per_1_FY_Start_Date,(TS_Per_1_Number+TS_Data_Total_Pers-1)*TS_Mths_In_Per)-1)),1,0))</f>
        <v>3</v>
      </c>
      <c r="K48" s="167"/>
    </row>
    <row r="49" spans="3:11" ht="10.5" hidden="1" customHeight="1" outlineLevel="2">
      <c r="E49" s="65" t="s">
        <v>95</v>
      </c>
      <c r="J49" s="170" t="b">
        <f>IF(TS_Data_End_Date&lt;TS_Start_Date,FALSE,
IF(TS_Data_End_Date=TS_Per_1_End_Date,IF(TS_Start_Date&lt;&gt;TS_Per_1_Start_Date,TRUE,FALSE),
IF(TS_Data_End_Date&lt;TS_Per_1_End_Date,TRUE,
IF(TS_Data_End_Date&lt;&gt;IF(TS_Data_Total_Pers=1,TS_Per_1_End_Date,
IF(TS_Mth_End,EOMONTH(EDATE(TS_Per_1_FY_Start_Date,(TS_Per_1_Number+TS_Data_Total_Pers-1)*TS_Mths_In_Per-1),0),EDATE(TS_Per_1_FY_Start_Date,(TS_Per_1_Number+TS_Data_Total_Pers-1)*TS_Mths_In_Per)-1)),TRUE,FALSE))))</f>
        <v>0</v>
      </c>
      <c r="K49" s="170"/>
    </row>
    <row r="50" spans="3:11" hidden="1" outlineLevel="2"/>
    <row r="51" spans="3:11" hidden="1" outlineLevel="2">
      <c r="D51" s="67" t="s">
        <v>96</v>
      </c>
    </row>
    <row r="52" spans="3:11" hidden="1" outlineLevel="2"/>
    <row r="53" spans="3:11" ht="10.5" hidden="1" customHeight="1" outlineLevel="2">
      <c r="E53" s="65" t="s">
        <v>97</v>
      </c>
      <c r="J53" s="175">
        <f>IF(DD_TS_Data_Term_Basis=1,IF(TS_Mth_End,EOMONTH(EDATE(TS_Per_1_FY_Start_Date,(TS_Per_1_Number+TS_Data_Pers_Ass-1)*TS_Mths_In_Per-1),0),
EDATE(TS_Per_1_FY_Start_Date,(TS_Per_1_Number+TS_Data_Pers_Ass-1)*TS_Mths_In_Per)-1)+1,TS_Proj_Start_Date_Ass)</f>
        <v>41275</v>
      </c>
      <c r="K53" s="175"/>
    </row>
    <row r="54" spans="3:11" ht="10.5" hidden="1" customHeight="1" outlineLevel="2">
      <c r="E54" s="65" t="s">
        <v>68</v>
      </c>
      <c r="J54" s="175">
        <f>IF(TS_Mth_End,DATE(YEAR(TS_Proj_Per_1_FY_End_Date)-IF(TS_Proj_Per_1_FY_End_Date=EOMONTH(DATE(YEAR(TS_Proj_Per_1_FY_End_Date),Mths_In_Yr,1),0),0,1),MOD(MONTH(TS_Proj_Per_1_FY_End_Date),Mths_In_Yr)+1,1),
EDATE(TS_Proj_Per_1_FY_End_Date,-Mths_In_Yr)+1)</f>
        <v>41275</v>
      </c>
      <c r="K54" s="175"/>
    </row>
    <row r="55" spans="3:11" ht="10.5" hidden="1" customHeight="1" outlineLevel="2">
      <c r="E55" s="65" t="s">
        <v>69</v>
      </c>
      <c r="J55" s="175">
        <f>IF(TS_Mth_End,EOMONTH(DATE(YEAR(TS_Proj_Start_Date)+IF(MONTH(TS_Proj_Start_Date)&gt;DD_TS_Fin_YE_Mth,1,0),DD_TS_Fin_YE_Mth,1),0),
DATE(YEAR(TS_Proj_Start_Date)+IF(TS_Proj_Start_Date&gt;DATE(YEAR(TS_Proj_Start_Date),DD_TS_Fin_YE_Mth,DD_TS_Fin_YE_Day),1,0),DD_TS_Fin_YE_Mth,DD_TS_Fin_YE_Day))</f>
        <v>41639</v>
      </c>
      <c r="K55" s="175"/>
    </row>
    <row r="56" spans="3:11" ht="10.5" hidden="1" customHeight="1" outlineLevel="2">
      <c r="E56" s="65" t="s">
        <v>72</v>
      </c>
      <c r="J56" s="167">
        <f>INT((((YEAR(TS_Proj_Start_Date)-YEAR(TS_Proj_Per_1_FY_Start_Date))*Mths_In_Yr+MONTH(TS_Proj_Start_Date)-MONTH(TS_Proj_Per_1_FY_Start_Date)+1
+IF(TS_Mth_End,0,
IF(TS_Proj_Start_Date&gt;(EDATE(TS_Proj_Per_1_FY_Start_Date,(YEAR(TS_Proj_Start_Date)-YEAR(TS_Proj_Per_1_FY_Start_Date))*Mths_In_Yr+MONTH(TS_Proj_Start_Date)-MONTH(TS_Proj_Per_1_FY_Start_Date)+1)-1),1,0)
-IF(TS_Proj_Start_Date&lt;EDATE(TS_Proj_Per_1_FY_Start_Date,(YEAR(TS_Proj_Start_Date)-YEAR(TS_Proj_Per_1_FY_Start_Date))*Mths_In_Yr+MONTH(TS_Proj_Start_Date)-MONTH(TS_Proj_Per_1_FY_Start_Date)),1,0)))
-1)/TS_Mths_In_Per)+1</f>
        <v>1</v>
      </c>
      <c r="K56" s="167"/>
    </row>
    <row r="57" spans="3:11" ht="10.5" hidden="1" customHeight="1" outlineLevel="2">
      <c r="E57" s="65" t="s">
        <v>73</v>
      </c>
      <c r="J57" s="175">
        <f>IF(TS_Mth_End,EOMONTH(EDATE(TS_Proj_Per_1_FY_Start_Date,(TS_Proj_Per_1_Number-1)*TS_Mths_In_Per-1),0)+
1,EDATE(TS_Proj_Per_1_FY_Start_Date,(TS_Proj_Per_1_Number-1)*TS_Mths_In_Per))</f>
        <v>41275</v>
      </c>
      <c r="K57" s="175"/>
    </row>
    <row r="58" spans="3:11" ht="10.5" hidden="1" customHeight="1" outlineLevel="2">
      <c r="E58" s="65" t="s">
        <v>74</v>
      </c>
      <c r="J58" s="175">
        <f>IF(TS_Mth_End,EOMONTH(EDATE(TS_Proj_Per_1_FY_Start_Date,TS_Proj_Per_1_Number*TS_Mths_In_Per-1),0),
EDATE(TS_Proj_Per_1_FY_Start_Date,TS_Proj_Per_1_Number*TS_Mths_In_Per)-1)</f>
        <v>41639</v>
      </c>
      <c r="K58" s="175"/>
    </row>
    <row r="59" spans="3:11" collapsed="1"/>
    <row r="60" spans="3:11">
      <c r="C60" s="67" t="s">
        <v>30</v>
      </c>
    </row>
    <row r="61" spans="3:11">
      <c r="C61" s="68" t="s">
        <v>4</v>
      </c>
      <c r="D61" s="65" t="s">
        <v>98</v>
      </c>
    </row>
    <row r="62" spans="3:11">
      <c r="C62" s="68" t="s">
        <v>4</v>
      </c>
      <c r="D62" s="65" t="s">
        <v>99</v>
      </c>
    </row>
    <row r="63" spans="3:11">
      <c r="C63" s="68" t="s">
        <v>4</v>
      </c>
      <c r="D63" s="65" t="s">
        <v>100</v>
      </c>
    </row>
    <row r="64" spans="3:11">
      <c r="C64" s="68" t="s">
        <v>4</v>
      </c>
      <c r="D64" s="69" t="s">
        <v>101</v>
      </c>
    </row>
    <row r="65" spans="3:4">
      <c r="C65" s="68" t="s">
        <v>4</v>
      </c>
      <c r="D65" s="69" t="s">
        <v>102</v>
      </c>
    </row>
  </sheetData>
  <mergeCells count="36">
    <mergeCell ref="J58:K58"/>
    <mergeCell ref="J41:K41"/>
    <mergeCell ref="J42:K42"/>
    <mergeCell ref="J46:K46"/>
    <mergeCell ref="J47:K47"/>
    <mergeCell ref="J48:K48"/>
    <mergeCell ref="J49:K49"/>
    <mergeCell ref="J53:K53"/>
    <mergeCell ref="J54:K54"/>
    <mergeCell ref="J55:K55"/>
    <mergeCell ref="J56:K56"/>
    <mergeCell ref="J57:K57"/>
    <mergeCell ref="J40:K40"/>
    <mergeCell ref="J23:K23"/>
    <mergeCell ref="J24:K24"/>
    <mergeCell ref="J25:K25"/>
    <mergeCell ref="J26:K26"/>
    <mergeCell ref="J27:K27"/>
    <mergeCell ref="J31:K31"/>
    <mergeCell ref="J32:K32"/>
    <mergeCell ref="J33:K33"/>
    <mergeCell ref="J34:K34"/>
    <mergeCell ref="J35:K35"/>
    <mergeCell ref="J36:K36"/>
    <mergeCell ref="J22:K22"/>
    <mergeCell ref="B3:F3"/>
    <mergeCell ref="J11:K11"/>
    <mergeCell ref="J12:K12"/>
    <mergeCell ref="J14:K14"/>
    <mergeCell ref="J15:K15"/>
    <mergeCell ref="J16:K16"/>
    <mergeCell ref="J17:K17"/>
    <mergeCell ref="J18:K18"/>
    <mergeCell ref="J19:K19"/>
    <mergeCell ref="J20:K20"/>
    <mergeCell ref="J21:K21"/>
  </mergeCells>
  <conditionalFormatting sqref="J32">
    <cfRule type="expression" dxfId="39" priority="8" stopIfTrue="1">
      <formula>NOT(J$31)</formula>
    </cfRule>
  </conditionalFormatting>
  <conditionalFormatting sqref="J33">
    <cfRule type="expression" dxfId="38" priority="7" stopIfTrue="1">
      <formula>NOT(J$31)</formula>
    </cfRule>
  </conditionalFormatting>
  <conditionalFormatting sqref="J34">
    <cfRule type="expression" dxfId="37" priority="6" stopIfTrue="1">
      <formula>NOT(J$31)</formula>
    </cfRule>
  </conditionalFormatting>
  <conditionalFormatting sqref="J35">
    <cfRule type="expression" dxfId="36" priority="5" stopIfTrue="1">
      <formula>NOT(J$31)</formula>
    </cfRule>
  </conditionalFormatting>
  <conditionalFormatting sqref="J36">
    <cfRule type="expression" dxfId="35" priority="4" stopIfTrue="1">
      <formula>NOT(J$31)</formula>
    </cfRule>
  </conditionalFormatting>
  <conditionalFormatting sqref="J41">
    <cfRule type="expression" dxfId="34" priority="3" stopIfTrue="1">
      <formula>DD_TS_Data_Term_Basis&lt;&gt;1</formula>
    </cfRule>
  </conditionalFormatting>
  <conditionalFormatting sqref="J42">
    <cfRule type="expression" dxfId="33" priority="1" stopIfTrue="1">
      <formula>DD_TS_Data_Term_Basis&lt;&gt;2</formula>
    </cfRule>
    <cfRule type="cellIs" dxfId="32" priority="2" stopIfTrue="1" operator="lessThan">
      <formula>TS_Start_Date</formula>
    </cfRule>
  </conditionalFormatting>
  <dataValidations count="9">
    <dataValidation type="whole" showDropDown="1" showErrorMessage="1" errorTitle="0 Cell Link" error="The value in a 0 cell link must be a whole number within the control's lookup range rows." sqref="J13">
      <formula1>1</formula1>
      <formula2>ROWS(LU_Mth_Days )</formula2>
    </dataValidation>
    <dataValidation type="whole" showDropDown="1" showErrorMessage="1" errorTitle="0 Cell Link" error="The value in a 0 cell link must be a whole number within the control's lookup range rows." sqref="K13">
      <formula1>1</formula1>
      <formula2>ROWS(LU_Mth_Names )</formula2>
    </dataValidation>
    <dataValidation type="date" showDropDown="1" showInputMessage="1" showErrorMessage="1" errorTitle="Start Date" error="The entered start date assumption must be a valid date. For assistance, search for &quot;Date&quot; in Excel Help." promptTitle="Start Date" prompt="Enter the start date assumption here." sqref="J14">
      <formula1>1</formula1>
      <formula2>2862773</formula2>
    </dataValidation>
    <dataValidation type="whole" showDropDown="1" showErrorMessage="1" errorTitle="Periods" error="The entered number of periods must be a whole number between 1 and 249." sqref="J15">
      <formula1>1</formula1>
      <formula2>249</formula2>
    </dataValidation>
    <dataValidation type="whole" showDropDown="1" showErrorMessage="1" errorTitle="0 Cell Link" error="The value in a 0 cell link must be a whole number within the control's lookup range rows." sqref="J26">
      <formula1>1</formula1>
      <formula2>ROWS(LU_Denom )</formula2>
    </dataValidation>
    <dataValidation type="custom" showDropDown="1" showErrorMessage="1" errorTitle="6 Cell Link" error="The value in an option button cell link must be either &quot;TRUE&quot; or &quot;FALSE&quot;" sqref="J31">
      <formula1>ISLOGICAL(J31)</formula1>
    </dataValidation>
    <dataValidation type="whole" showDropDown="1" showErrorMessage="1" errorTitle="0 Cell Link" error="The value in a 0 cell link must be a whole number within the control's lookup range rows." sqref="J40">
      <formula1>1</formula1>
      <formula2>ROWS(LU_Data_Term_Basis )</formula2>
    </dataValidation>
    <dataValidation type="whole" operator="greaterThanOrEqual" showDropDown="1" showErrorMessage="1" errorTitle="Invalid Assumption" error="Assumption must be a whole number greater than or equal to zero." sqref="J41 J32:J33">
      <formula1>0</formula1>
    </dataValidation>
    <dataValidation type="custom" showErrorMessage="1" errorTitle="Invalid Assumption" error="Assumption must be a number." sqref="J42">
      <formula1>NOT(ISERROR(J42/1))</formula1>
    </dataValidation>
  </dataValidations>
  <hyperlinks>
    <hyperlink ref="B3" location="HL_Home" tooltip="Go to Table of Contents" display="HL_Home"/>
    <hyperlink ref="A4" location="$B$5" tooltip="Go to Top of Sheet" display="$B$5"/>
    <hyperlink ref="B4" location="HL_Sheet_Main_4" tooltip="Go to Previous Sheet" display="HL_Sheet_Main_4"/>
    <hyperlink ref="C4" location="HL_Sheet_Main_5" tooltip="Go to Next Sheet" display="HL_Sheet_Main_5"/>
    <hyperlink ref="D4" location="HL_Err_Chk" tooltip="Go to Error Checks" display="HL_Err_Chk"/>
    <hyperlink ref="E4" location="HL_Sens_Chk" tooltip="Go to Sensitivity Checks" display="HL_Sens_Chk"/>
    <hyperlink ref="F4" location="HL_Alt_Chk" tooltip="Go to Alert Checks" display="HL_Alt_Chk"/>
  </hyperlinks>
  <pageMargins left="0.39370078740157499" right="0.39370078740157499" top="0.59055118110236204" bottom="0.98425196850393704" header="0" footer="0.31496062992126"/>
  <pageSetup paperSize="9" orientation="landscape" r:id="rId1"/>
  <headerFooter>
    <oddFooter>&amp;L&amp;F
&amp;A
Printed: &amp;T on &amp;D&amp;CPage &amp;P of &amp;N&amp;R&amp;G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pageSetUpPr autoPageBreaks="0" fitToPage="1"/>
  </sheetPr>
  <dimension ref="C9:G20"/>
  <sheetViews>
    <sheetView showGridLines="0" zoomScaleNormal="100" workbookViewId="0"/>
  </sheetViews>
  <sheetFormatPr defaultColWidth="11.83203125" defaultRowHeight="10.5"/>
  <cols>
    <col min="1" max="2" width="11.83203125" style="2"/>
    <col min="3" max="6" width="3.83203125" style="2" customWidth="1"/>
    <col min="7" max="16384" width="11.83203125" style="2"/>
  </cols>
  <sheetData>
    <row r="9" spans="3:7" ht="18">
      <c r="C9" s="1" t="s">
        <v>103</v>
      </c>
    </row>
    <row r="10" spans="3:7" ht="16.5">
      <c r="C10" s="21" t="s">
        <v>104</v>
      </c>
    </row>
    <row r="11" spans="3:7" ht="15">
      <c r="C11" s="8" t="str">
        <f>Model_Name</f>
        <v>SMA 13. Multiple Workbooks - Best Practice Model Example 2</v>
      </c>
    </row>
    <row r="12" spans="3:7">
      <c r="C12" s="150" t="s">
        <v>1</v>
      </c>
      <c r="D12" s="150"/>
      <c r="E12" s="150"/>
      <c r="F12" s="150"/>
      <c r="G12" s="150"/>
    </row>
    <row r="13" spans="3:7" ht="12.75">
      <c r="C13" s="22" t="s">
        <v>24</v>
      </c>
      <c r="D13" s="23" t="s">
        <v>25</v>
      </c>
    </row>
    <row r="17" spans="3:3">
      <c r="C17" s="4" t="s">
        <v>56</v>
      </c>
    </row>
    <row r="18" spans="3:3">
      <c r="C18" s="24" t="s">
        <v>105</v>
      </c>
    </row>
    <row r="19" spans="3:3">
      <c r="C19" s="24"/>
    </row>
    <row r="20" spans="3:3">
      <c r="C20" s="24"/>
    </row>
  </sheetData>
  <mergeCells count="1">
    <mergeCell ref="C12:G12"/>
  </mergeCells>
  <hyperlinks>
    <hyperlink ref="C12" location="HL_Home" tooltip="Go to Table of Contents" display="HL_Home"/>
    <hyperlink ref="C13" location="HL_Sheet_Main_10" tooltip="Go to Previous Sheet" display="HL_Sheet_Main_10"/>
    <hyperlink ref="D13" location="HL_Sheet_Main_12" tooltip="Go to Next Sheet" display="HL_Sheet_Main_12"/>
  </hyperlinks>
  <pageMargins left="0.39370078740157499" right="0.39370078740157499" top="0.59055118110236204" bottom="0.98425196850393704" header="0" footer="0.31496062992126"/>
  <pageSetup paperSize="9" orientation="landscape" horizontalDpi="300" verticalDpi="300" r:id="rId1"/>
  <headerFooter>
    <oddFooter>&amp;L&amp;F
&amp;A
Printed: &amp;T on &amp;D&amp;CPage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119</vt:i4>
      </vt:variant>
    </vt:vector>
  </HeadingPairs>
  <TitlesOfParts>
    <vt:vector size="139" baseType="lpstr">
      <vt:lpstr>Cover</vt:lpstr>
      <vt:lpstr>Contents</vt:lpstr>
      <vt:lpstr>Overview_SC</vt:lpstr>
      <vt:lpstr>Notes_SSC</vt:lpstr>
      <vt:lpstr>Linked_Workbooks_Diagram_MS</vt:lpstr>
      <vt:lpstr>Assumptions_SC</vt:lpstr>
      <vt:lpstr>TS_Ass_SSC</vt:lpstr>
      <vt:lpstr>TS_BA</vt:lpstr>
      <vt:lpstr>Fcast_Ass_SSC</vt:lpstr>
      <vt:lpstr>Fcast_TA</vt:lpstr>
      <vt:lpstr>Base_OP_SC</vt:lpstr>
      <vt:lpstr>Fcast_OP_SSC</vt:lpstr>
      <vt:lpstr>Fcast_TO</vt:lpstr>
      <vt:lpstr>Appendices_SC</vt:lpstr>
      <vt:lpstr>Model_Exports_SSC</vt:lpstr>
      <vt:lpstr>Model_Exports_ME_TO</vt:lpstr>
      <vt:lpstr>Checks_SSC</vt:lpstr>
      <vt:lpstr>Checks_BO</vt:lpstr>
      <vt:lpstr>LU_SSC</vt:lpstr>
      <vt:lpstr>TS_LU</vt:lpstr>
      <vt:lpstr>Alt_Chks_Msg</vt:lpstr>
      <vt:lpstr>Alt_Chks_Ttl_Areas</vt:lpstr>
      <vt:lpstr>Annual</vt:lpstr>
      <vt:lpstr>Billion</vt:lpstr>
      <vt:lpstr>Billions</vt:lpstr>
      <vt:lpstr>CA_Alt_Chks</vt:lpstr>
      <vt:lpstr>CA_Alt_Chks_Area_Names</vt:lpstr>
      <vt:lpstr>CA_Alt_Chks_Flags</vt:lpstr>
      <vt:lpstr>CA_Alt_Chks_Inc</vt:lpstr>
      <vt:lpstr>CA_Err_Chks</vt:lpstr>
      <vt:lpstr>CA_Err_Chks_Area_Names</vt:lpstr>
      <vt:lpstr>CA_Err_Chks_Flags</vt:lpstr>
      <vt:lpstr>CA_Err_Chks_Inc</vt:lpstr>
      <vt:lpstr>CA_Sens_Chks</vt:lpstr>
      <vt:lpstr>CA_Sens_Chks_Area_Names</vt:lpstr>
      <vt:lpstr>CA_Sens_Chks_Flags</vt:lpstr>
      <vt:lpstr>CA_Sens_Chks_Inc</vt:lpstr>
      <vt:lpstr>CB_Alt_Chks_Show_Msg</vt:lpstr>
      <vt:lpstr>CB_Err_Chks_Show_Msg</vt:lpstr>
      <vt:lpstr>CB_Sens_Chks_Show_Msg</vt:lpstr>
      <vt:lpstr>CB_TS_Show_Hist_Fcast_Pers</vt:lpstr>
      <vt:lpstr>Currency</vt:lpstr>
      <vt:lpstr>DD_TS_Data_Term_Basis</vt:lpstr>
      <vt:lpstr>DD_TS_Denom</vt:lpstr>
      <vt:lpstr>DD_TS_Fin_YE_Day</vt:lpstr>
      <vt:lpstr>DD_TS_Fin_YE_Mth</vt:lpstr>
      <vt:lpstr>Err_Chks_Msg</vt:lpstr>
      <vt:lpstr>Err_Chks_Ttl_Areas</vt:lpstr>
      <vt:lpstr>Half_Yr_Name</vt:lpstr>
      <vt:lpstr>Halves_In_Yr</vt:lpstr>
      <vt:lpstr>HL_Alt_Chk</vt:lpstr>
      <vt:lpstr>HL_Err_Chk</vt:lpstr>
      <vt:lpstr>HL_Home</vt:lpstr>
      <vt:lpstr>HL_Sens_Chk</vt:lpstr>
      <vt:lpstr>Hundred</vt:lpstr>
      <vt:lpstr>LU_Data_Term_Basis</vt:lpstr>
      <vt:lpstr>LU_Denom</vt:lpstr>
      <vt:lpstr>LU_Mth_Days</vt:lpstr>
      <vt:lpstr>LU_Mth_Names</vt:lpstr>
      <vt:lpstr>LU_Period_Type_Names</vt:lpstr>
      <vt:lpstr>LU_Periodicity</vt:lpstr>
      <vt:lpstr>LU_Pers_In_Yr</vt:lpstr>
      <vt:lpstr>Million</vt:lpstr>
      <vt:lpstr>Millions</vt:lpstr>
      <vt:lpstr>Model_Name</vt:lpstr>
      <vt:lpstr>Mth_Name</vt:lpstr>
      <vt:lpstr>Mthly</vt:lpstr>
      <vt:lpstr>Mths_In_Yr</vt:lpstr>
      <vt:lpstr>Appendices_SC!Print_Area</vt:lpstr>
      <vt:lpstr>Assumptions_SC!Print_Area</vt:lpstr>
      <vt:lpstr>Base_OP_SC!Print_Area</vt:lpstr>
      <vt:lpstr>Checks_BO!Print_Area</vt:lpstr>
      <vt:lpstr>Checks_SSC!Print_Area</vt:lpstr>
      <vt:lpstr>Contents!Print_Area</vt:lpstr>
      <vt:lpstr>Cover!Print_Area</vt:lpstr>
      <vt:lpstr>Fcast_Ass_SSC!Print_Area</vt:lpstr>
      <vt:lpstr>Fcast_OP_SSC!Print_Area</vt:lpstr>
      <vt:lpstr>Fcast_TA!Print_Area</vt:lpstr>
      <vt:lpstr>Fcast_TO!Print_Area</vt:lpstr>
      <vt:lpstr>Linked_Workbooks_Diagram_MS!Print_Area</vt:lpstr>
      <vt:lpstr>LU_SSC!Print_Area</vt:lpstr>
      <vt:lpstr>Model_Exports_ME_TO!Print_Area</vt:lpstr>
      <vt:lpstr>Model_Exports_SSC!Print_Area</vt:lpstr>
      <vt:lpstr>Notes_SSC!Print_Area</vt:lpstr>
      <vt:lpstr>Overview_SC!Print_Area</vt:lpstr>
      <vt:lpstr>TS_Ass_SSC!Print_Area</vt:lpstr>
      <vt:lpstr>TS_BA!Print_Area</vt:lpstr>
      <vt:lpstr>TS_LU!Print_Area</vt:lpstr>
      <vt:lpstr>Checks_BO!Print_Titles</vt:lpstr>
      <vt:lpstr>Contents!Print_Titles</vt:lpstr>
      <vt:lpstr>Fcast_TA!Print_Titles</vt:lpstr>
      <vt:lpstr>Fcast_TO!Print_Titles</vt:lpstr>
      <vt:lpstr>Model_Exports_ME_TO!Print_Titles</vt:lpstr>
      <vt:lpstr>TS_BA!Print_Titles</vt:lpstr>
      <vt:lpstr>TS_LU!Print_Titles</vt:lpstr>
      <vt:lpstr>Qtr_Name</vt:lpstr>
      <vt:lpstr>Qtrly</vt:lpstr>
      <vt:lpstr>Qtrs_In_Yr</vt:lpstr>
      <vt:lpstr>Semi_Annual</vt:lpstr>
      <vt:lpstr>Sens_Chks_Msg</vt:lpstr>
      <vt:lpstr>Sens_Chks_Ttl_Areas</vt:lpstr>
      <vt:lpstr>Ten</vt:lpstr>
      <vt:lpstr>Thousand</vt:lpstr>
      <vt:lpstr>Thousands</vt:lpstr>
      <vt:lpstr>TS</vt:lpstr>
      <vt:lpstr>TS_Actual_Per_Title</vt:lpstr>
      <vt:lpstr>TS_Actual_Pers</vt:lpstr>
      <vt:lpstr>TS_Budget_Per_Title</vt:lpstr>
      <vt:lpstr>TS_Budget_Pers</vt:lpstr>
      <vt:lpstr>TS_Data_End_Date</vt:lpstr>
      <vt:lpstr>TS_Data_Final_Stub</vt:lpstr>
      <vt:lpstr>TS_Data_Full_Pers</vt:lpstr>
      <vt:lpstr>TS_Data_Pers_Ass</vt:lpstr>
      <vt:lpstr>TS_Data_Total_Pers</vt:lpstr>
      <vt:lpstr>TS_Denom_Label</vt:lpstr>
      <vt:lpstr>TS_Fcast_Per_Title</vt:lpstr>
      <vt:lpstr>TS_Mth_End</vt:lpstr>
      <vt:lpstr>TS_Mths_In_Per</vt:lpstr>
      <vt:lpstr>TS_Per_1_End_Date</vt:lpstr>
      <vt:lpstr>TS_Per_1_FY_End_Date</vt:lpstr>
      <vt:lpstr>TS_Per_1_FY_Start_Date</vt:lpstr>
      <vt:lpstr>TS_Per_1_Number</vt:lpstr>
      <vt:lpstr>TS_Per_1_Start_Date</vt:lpstr>
      <vt:lpstr>TS_Per_Type_Name</vt:lpstr>
      <vt:lpstr>TS_Per_Type_Prefix</vt:lpstr>
      <vt:lpstr>TS_Periodicity</vt:lpstr>
      <vt:lpstr>TS_Pers_In_Yr</vt:lpstr>
      <vt:lpstr>TS_Proj_Per_1_End_Date</vt:lpstr>
      <vt:lpstr>TS_Proj_Per_1_FY_End_Date</vt:lpstr>
      <vt:lpstr>TS_Proj_Per_1_FY_Start_Date</vt:lpstr>
      <vt:lpstr>TS_Proj_Per_1_Number</vt:lpstr>
      <vt:lpstr>TS_Proj_Per_1_Start_Date</vt:lpstr>
      <vt:lpstr>TS_Proj_Start_Date</vt:lpstr>
      <vt:lpstr>TS_Proj_Start_Date_Ass</vt:lpstr>
      <vt:lpstr>TS_Start_Date</vt:lpstr>
      <vt:lpstr>TS_Std_Pers</vt:lpstr>
      <vt:lpstr>TS_Title</vt:lpstr>
      <vt:lpstr>Yr_Name</vt:lpstr>
      <vt:lpstr>Yrs_In_Yr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Best Practice Modelling</dc:creator>
  <cp:lastModifiedBy>Best Practice Modelling</cp:lastModifiedBy>
  <dcterms:created xsi:type="dcterms:W3CDTF">2010-10-15T03:41:26Z</dcterms:created>
  <dcterms:modified xsi:type="dcterms:W3CDTF">2010-11-30T01:16:20Z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XRCK">
    <vt:lpwstr>53|11757824,1|0,52|6780672,51|4204747,49|6697881,55|7929855,11|12632256,56|16777215</vt:lpwstr>
  </property>
  <property fmtid="{D5CDD505-2E9C-101B-9397-08002B2CF9AE}" pid="3" name="TBXBSCK">
    <vt:lpwstr>CO-4142|-4142/COC-4142|-4142/CS1-4142|-4142/S1S2-4142|-4142/S2BAR6|-4142/BATAR6|-4142/TABO-4142|-4142/BOTO-4142|-4142/TOLU-4142|-4142/LUMS-4142|-4142/MSCH-4142|-4142/CH</vt:lpwstr>
  </property>
</Properties>
</file>