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90" windowWidth="12930" windowHeight="6870" tabRatio="950"/>
  </bookViews>
  <sheets>
    <sheet name="Cover" sheetId="177" r:id="rId1"/>
    <sheet name="Contents" sheetId="176" r:id="rId2"/>
    <sheet name="Overview_SC" sheetId="123" r:id="rId3"/>
    <sheet name="Notes_SSC" sheetId="124" r:id="rId4"/>
    <sheet name="Linked_Workbooks_Diagram_MS" sheetId="191" r:id="rId5"/>
    <sheet name="Assumptions_SC" sheetId="132" r:id="rId6"/>
    <sheet name="TS_Ass_SSC" sheetId="183" r:id="rId7"/>
    <sheet name="TS_BA" sheetId="131" r:id="rId8"/>
    <sheet name="Fcast_Ass_SSC" sheetId="184" r:id="rId9"/>
    <sheet name="Fcast_TA" sheetId="133" r:id="rId10"/>
    <sheet name="Base_OP_SC" sheetId="137" r:id="rId11"/>
    <sheet name="Fcast_OP_SSC" sheetId="186" r:id="rId12"/>
    <sheet name="Fcast_TO" sheetId="138" r:id="rId13"/>
    <sheet name="FS_OP_SSC" sheetId="187" r:id="rId14"/>
    <sheet name="IS_TO" sheetId="161" r:id="rId15"/>
    <sheet name="BS_TO" sheetId="162" r:id="rId16"/>
    <sheet name="CFS_TO" sheetId="163" r:id="rId17"/>
    <sheet name="Dashboards_SSC" sheetId="188" r:id="rId18"/>
    <sheet name="BS_Sum_P_MS" sheetId="180" r:id="rId19"/>
    <sheet name="Appendices_SC" sheetId="168" r:id="rId20"/>
    <sheet name="Model_Imports_SSC" sheetId="189" r:id="rId21"/>
    <sheet name="Checks_SSC" sheetId="134" r:id="rId22"/>
    <sheet name="Checks_BO" sheetId="135" r:id="rId23"/>
    <sheet name="LU_SSC" sheetId="169" r:id="rId24"/>
    <sheet name="TS_LU" sheetId="130" r:id="rId25"/>
    <sheet name="Capital_LU" sheetId="174" r:id="rId26"/>
    <sheet name="Dashboards_LU" sheetId="182" r:id="rId27"/>
  </sheets>
  <definedNames>
    <definedName name="Alt_Chk_11_Hdg" hidden="1">Fcast_TA!$C$58</definedName>
    <definedName name="Alt_Chk_12_Hdg" hidden="1">Fcast_TA!$B$85</definedName>
    <definedName name="Alt_Chk_14_Hdg" hidden="1">BS_TO!$B$1</definedName>
    <definedName name="Alt_Chk_15_Hdg" hidden="1">Fcast_TO!$C$129</definedName>
    <definedName name="Alt_Chk_4_Hdg" hidden="1">Fcast_TO!$B$16</definedName>
    <definedName name="Alt_Chks_Msg">Checks_BO!$I$55</definedName>
    <definedName name="Alt_Chks_Ttl_Areas">Checks_BO!$M$64</definedName>
    <definedName name="Annual">TS_LU!$D$77</definedName>
    <definedName name="BA_Alt_Chks" hidden="1">Checks_BO!$46:$64</definedName>
    <definedName name="BA_Err_Chks" hidden="1">Checks_BO!$5:$29</definedName>
    <definedName name="BA_LU" hidden="1">TS_LU!$5:$105</definedName>
    <definedName name="BA_Sens_Chks" hidden="1">Checks_BO!$30:$45</definedName>
    <definedName name="BA_TS_Ass" hidden="1">TS_BA!$5:$65</definedName>
    <definedName name="Billion">TS_LU!$D$105</definedName>
    <definedName name="Billions">TS_LU!$D$63</definedName>
    <definedName name="CA_Alt_Chks">Checks_BO!$K$61:$K$62</definedName>
    <definedName name="CA_Alt_Chks_Area_Names">Checks_BO!$D$61:$D$62</definedName>
    <definedName name="CA_Alt_Chks_Flags">Checks_BO!$M$61:$M$62</definedName>
    <definedName name="CA_Alt_Chks_Inc">Checks_BO!$L$61:$L$62</definedName>
    <definedName name="CA_Err_Chks">Checks_BO!$K$20:$K$27</definedName>
    <definedName name="CA_Err_Chks_Area_Names">Checks_BO!$D$20:$D$27</definedName>
    <definedName name="CA_Err_Chks_Flags">Checks_BO!$M$20:$M$27</definedName>
    <definedName name="CA_Err_Chks_Inc">Checks_BO!$L$20:$L$27</definedName>
    <definedName name="CA_Sens_Chks">Checks_BO!$K$44:$K$44</definedName>
    <definedName name="CA_Sens_Chks_Area_Names">Checks_BO!$D$44:$D$44</definedName>
    <definedName name="CA_Sens_Chks_Flags">Checks_BO!$M$44:$M$44</definedName>
    <definedName name="CA_Sens_Chks_Inc">Checks_BO!$L$44:$L$44</definedName>
    <definedName name="CB_Alt_Chks_Show_Msg">Checks_BO!$C$50</definedName>
    <definedName name="CB_Eq_Ord_Cash_Limit_Div">Fcast_TA!$E$78</definedName>
    <definedName name="CB_Eq_Ord_Inc_Open_RP_In_NPAT">Fcast_TA!$E$77</definedName>
    <definedName name="CB_Err_Chks_Show_Msg">Checks_BO!$C$9</definedName>
    <definedName name="CB_Sens_Chks_Show_Msg">Checks_BO!$C$34</definedName>
    <definedName name="CB_TS_Show_Hist_Fcast_Pers">TS_BA!$J$31</definedName>
    <definedName name="Currency">TS_LU!$D$66</definedName>
    <definedName name="DD_Eq_Ord_Div_Meth">Fcast_TA!$J$71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Fcast_TO!$C$48</definedName>
    <definedName name="Err_Chk_10_Hdg" hidden="1">Fcast_TO!$B$169</definedName>
    <definedName name="Err_Chk_11_Hdg" hidden="1">IS_TO!$B$1</definedName>
    <definedName name="Err_Chk_13_Hdg" hidden="1">BS_TO!$B$1</definedName>
    <definedName name="Err_Chk_14_Hdg" hidden="1">CFS_TO!$B$1</definedName>
    <definedName name="Err_Chk_15_Hdg" hidden="1">Fcast_TO!$C$129</definedName>
    <definedName name="Err_Chk_2_Hdg" hidden="1">Fcast_TO!$C$31</definedName>
    <definedName name="Err_Chk_3_Hdg" hidden="1">Fcast_TO!$C$72</definedName>
    <definedName name="Err_Chk_4_Hdg" hidden="1">Fcast_TO!$C$84</definedName>
    <definedName name="Err_Chks_Msg">Checks_BO!$I$14</definedName>
    <definedName name="Err_Chks_Ttl_Areas">Checks_BO!$M$29</definedName>
    <definedName name="Half_Yr_Name">TS_LU!$D$86</definedName>
    <definedName name="Halves_In_Yr">TS_LU!$D$94</definedName>
    <definedName name="HL_Alt_Chk">Checks_BO!$B$48</definedName>
    <definedName name="HL_Alt_Chk_14" hidden="1">BS_TO!$I$73</definedName>
    <definedName name="HL_Alt_Chk_15" hidden="1">Fcast_TO!$I$167</definedName>
    <definedName name="HL_Err_Chk">Checks_BO!$B$7</definedName>
    <definedName name="HL_Err_Chk_1" hidden="1">Fcast_TO!$I$63</definedName>
    <definedName name="HL_Err_Chk_11" hidden="1">IS_TO!$I$41</definedName>
    <definedName name="HL_Err_Chk_13" hidden="1">BS_TO!$I$71</definedName>
    <definedName name="HL_Err_Chk_14" hidden="1">CFS_TO!$I$111</definedName>
    <definedName name="HL_Err_Chk_15" hidden="1">Fcast_TO!$I$148</definedName>
    <definedName name="HL_Err_Chk_2" hidden="1">Fcast_TO!$I$46</definedName>
    <definedName name="HL_Err_Chk_3" hidden="1">Fcast_TO!$I$82</definedName>
    <definedName name="HL_Err_Chk_4" hidden="1">Fcast_TO!$I$94</definedName>
    <definedName name="HL_Home">Contents!$B$1</definedName>
    <definedName name="HL_Sens_Chk">Checks_BO!$B$32</definedName>
    <definedName name="HL_Sheet_Main_10" hidden="1">TS_BA!$A$1</definedName>
    <definedName name="HL_Sheet_Main_11" hidden="1">Assumptions_SC!$A$1</definedName>
    <definedName name="HL_Sheet_Main_12" hidden="1">Fcast_TA!$A$1</definedName>
    <definedName name="HL_Sheet_Main_13" hidden="1">Checks_SSC!$A$1</definedName>
    <definedName name="HL_Sheet_Main_14" hidden="1">Checks_BO!$A$1</definedName>
    <definedName name="HL_Sheet_Main_15" hidden="1">Fcast_OP_SSC!$A$1</definedName>
    <definedName name="HL_Sheet_Main_16" hidden="1">Base_OP_SC!$A$1</definedName>
    <definedName name="HL_Sheet_Main_17" hidden="1">Fcast_TO!$A$1</definedName>
    <definedName name="HL_Sheet_Main_18" hidden="1">FS_OP_SSC!$A$1</definedName>
    <definedName name="HL_Sheet_Main_19" hidden="1">BS_Sum_P_MS!$A$1</definedName>
    <definedName name="HL_Sheet_Main_2" hidden="1">Overview_SC!$A$1</definedName>
    <definedName name="HL_Sheet_Main_20" hidden="1">Dashboards_SSC!$A$1</definedName>
    <definedName name="HL_Sheet_Main_21" hidden="1">Linked_Workbooks_Diagram_MS!$A$1</definedName>
    <definedName name="HL_Sheet_Main_24" hidden="1">Contents!$A$1</definedName>
    <definedName name="HL_Sheet_Main_25" hidden="1">Cover!$A$1</definedName>
    <definedName name="HL_Sheet_Main_27" hidden="1">Dashboards_LU!$A$1</definedName>
    <definedName name="HL_Sheet_Main_3" hidden="1">Notes_SSC!$A$1</definedName>
    <definedName name="HL_Sheet_Main_35" hidden="1">IS_TO!$A$1</definedName>
    <definedName name="HL_Sheet_Main_36" hidden="1">BS_TO!$A$1</definedName>
    <definedName name="HL_Sheet_Main_37" hidden="1">CFS_TO!$A$1</definedName>
    <definedName name="HL_Sheet_Main_39" hidden="1">Appendices_SC!$A$1</definedName>
    <definedName name="HL_Sheet_Main_4" hidden="1">TS_Ass_SSC!$A$1</definedName>
    <definedName name="HL_Sheet_Main_40" hidden="1">LU_SSC!$A$1</definedName>
    <definedName name="HL_Sheet_Main_42" hidden="1">Capital_LU!$A$1</definedName>
    <definedName name="HL_Sheet_Main_5" hidden="1">Fcast_Ass_SSC!$A$1</definedName>
    <definedName name="HL_Sheet_Main_8" hidden="1">Model_Imports_SSC!$A$1</definedName>
    <definedName name="HL_Sheet_Main_9" hidden="1">TS_LU!$A$1</definedName>
    <definedName name="HL_TOC_1" hidden="1">Fcast_TO!$B$29</definedName>
    <definedName name="HL_TOC_11" hidden="1">Fcast_TA!$B$37</definedName>
    <definedName name="HL_TOC_12" hidden="1">Fcast_TA!$B$85</definedName>
    <definedName name="HL_TOC_13" hidden="1">Fcast_TA!$B$102</definedName>
    <definedName name="HL_TOC_14" hidden="1">CFS_TO!$B$89</definedName>
    <definedName name="HL_TOC_15" hidden="1">Fcast_TO!$B$101</definedName>
    <definedName name="HL_TOC_16" hidden="1">Fcast_TO!$B$195</definedName>
    <definedName name="HL_TOC_2" hidden="1">Fcast_TO!$B$70</definedName>
    <definedName name="HL_TOC_21" hidden="1">Fcast_TO!$B$16</definedName>
    <definedName name="HL_TOC_3" hidden="1">Fcast_TA!$B$16</definedName>
    <definedName name="HL_TOC_32" hidden="1">Fcast_TO!$B$169</definedName>
    <definedName name="HL_TOC_35" hidden="1">CFS_TO!$B$16</definedName>
    <definedName name="HL_TOC_36" hidden="1">CFS_TO!$B$53</definedName>
    <definedName name="HL_TOC_4" hidden="1">TS_LU!$B$7</definedName>
    <definedName name="HL_TOC_5" hidden="1">Fcast_TA!$B$28</definedName>
    <definedName name="HL_TOC_6" hidden="1">Checks_BO!$B$7</definedName>
    <definedName name="HL_TOC_7" hidden="1">Checks_BO!$B$32</definedName>
    <definedName name="HL_TOC_8" hidden="1">Checks_BO!$B$48</definedName>
    <definedName name="Hundred">TS_LU!$D$102</definedName>
    <definedName name="LI_Tax_Base_Nom_Opex_Base_Nom_Cat_1">Fcast_TO!$I$175</definedName>
    <definedName name="LO_BS_Base_Nom_OP_Cash_Open">BS_TO!$I$20</definedName>
    <definedName name="LU_Dashboard_Selected_Period">Dashboards_LU!$D$12:$D$19</definedName>
    <definedName name="LU_Data_Term_Basis">TS_LU!$D$71:$D$72</definedName>
    <definedName name="LU_Denom">TS_LU!$D$63:$D$66</definedName>
    <definedName name="LU_Eq_Ord_Div_Meth">Capital_LU!$D$12:$D$13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9">Appendices_SC!$B$1:$N$30</definedName>
    <definedName name="_xlnm.Print_Area" localSheetId="5">Assumptions_SC!$B$1:$N$30</definedName>
    <definedName name="_xlnm.Print_Area" localSheetId="10">Base_OP_SC!$B$1:$N$30</definedName>
    <definedName name="_xlnm.Print_Area" localSheetId="18">BS_Sum_P_MS!$B$1:$AN$64</definedName>
    <definedName name="_xlnm.Print_Area" localSheetId="15">BS_TO!$B$1:$Q$76</definedName>
    <definedName name="_xlnm.Print_Area" localSheetId="25">Capital_LU!$B$1:$G$13</definedName>
    <definedName name="_xlnm.Print_Area" localSheetId="16">CFS_TO!$B$1:$Q$117</definedName>
    <definedName name="_xlnm.Print_Area" localSheetId="22">Checks_BO!$B$1:$M$64</definedName>
    <definedName name="_xlnm.Print_Area" localSheetId="21">Checks_SSC!$B$1:$N$30</definedName>
    <definedName name="_xlnm.Print_Area" localSheetId="1">Contents!$B$1:$Q$49</definedName>
    <definedName name="_xlnm.Print_Area" localSheetId="0">Cover!$B$1:$N$24</definedName>
    <definedName name="_xlnm.Print_Area" localSheetId="26">Dashboards_LU!$B$1:$G$19</definedName>
    <definedName name="_xlnm.Print_Area" localSheetId="17">Dashboards_SSC!$B$1:$N$30</definedName>
    <definedName name="_xlnm.Print_Area" localSheetId="8">Fcast_Ass_SSC!$B$1:$N$30</definedName>
    <definedName name="_xlnm.Print_Area" localSheetId="11">Fcast_OP_SSC!$B$1:$N$30</definedName>
    <definedName name="_xlnm.Print_Area" localSheetId="9">Fcast_TA!$B$1:$Q$120</definedName>
    <definedName name="_xlnm.Print_Area" localSheetId="12">Fcast_TO!$B$1:$Q$219</definedName>
    <definedName name="_xlnm.Print_Area" localSheetId="13">FS_OP_SSC!$B$1:$N$30</definedName>
    <definedName name="_xlnm.Print_Area" localSheetId="14">IS_TO!$B$1:$Q$46</definedName>
    <definedName name="_xlnm.Print_Area" localSheetId="4">Linked_Workbooks_Diagram_MS!$B$1:$BI$38</definedName>
    <definedName name="_xlnm.Print_Area" localSheetId="23">LU_SSC!$B$1:$N$30</definedName>
    <definedName name="_xlnm.Print_Area" localSheetId="20">Model_Imports_SSC!$B$1:$N$30</definedName>
    <definedName name="_xlnm.Print_Area" localSheetId="3">Notes_SSC!$B$1:$N$30</definedName>
    <definedName name="_xlnm.Print_Area" localSheetId="2">Overview_SC!$B$1:$N$30</definedName>
    <definedName name="_xlnm.Print_Area" localSheetId="6">TS_Ass_SSC!$B$1:$N$30</definedName>
    <definedName name="_xlnm.Print_Area" localSheetId="7">TS_BA!$B$1:$N$66</definedName>
    <definedName name="_xlnm.Print_Area" localSheetId="24">TS_LU!$B$1:$G$105</definedName>
    <definedName name="_xlnm.Print_Titles" localSheetId="15">BS_TO!$1:$15</definedName>
    <definedName name="_xlnm.Print_Titles" localSheetId="16">CFS_TO!$1:$15</definedName>
    <definedName name="_xlnm.Print_Titles" localSheetId="22">Checks_BO!$1:$6</definedName>
    <definedName name="_xlnm.Print_Titles" localSheetId="1">Contents!$1:$7</definedName>
    <definedName name="_xlnm.Print_Titles" localSheetId="9">Fcast_TA!$1:$15</definedName>
    <definedName name="_xlnm.Print_Titles" localSheetId="12">Fcast_TO!$1:$15</definedName>
    <definedName name="_xlnm.Print_Titles" localSheetId="14">IS_TO!$1:$15</definedName>
    <definedName name="_xlnm.Print_Titles" localSheetId="7">TS_BA!$1:$6</definedName>
    <definedName name="_xlnm.Print_Titles" localSheetId="24">TS_LU!$1:$8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Checks_BO!$I$39</definedName>
    <definedName name="Sens_Chks_Ttl_Areas">Checks_BO!$M$45</definedName>
    <definedName name="TBXBST" localSheetId="19" hidden="1">"|B|SC|B|"</definedName>
    <definedName name="TBXBST" localSheetId="5" hidden="1">"|B|SC|B|"</definedName>
    <definedName name="TBXBST" localSheetId="10" hidden="1">"|B|SC|B|"</definedName>
    <definedName name="TBXBST" localSheetId="18" hidden="1">"|B|MS|B||P|"</definedName>
    <definedName name="TBXBST" localSheetId="15" hidden="1">"|B|TO|B||T|All|T||N|1|N||FTSCN|10|FTSCN||TSP|10|TSP|"</definedName>
    <definedName name="TBXBST" localSheetId="25" hidden="1">"|B|LU|B|"</definedName>
    <definedName name="TBXBST" localSheetId="16" hidden="1">"|B|TO|B||T|All|T||N|1|N||FTSCN|10|FTSCN||TSP|10|TSP|"</definedName>
    <definedName name="TBXBST" localSheetId="22" hidden="1">"|B|BO|B|"</definedName>
    <definedName name="TBXBST" localSheetId="21" hidden="1">"|B|SSC|B|"</definedName>
    <definedName name="TBXBST" localSheetId="1" hidden="1">"|B|Contents|B|"</definedName>
    <definedName name="TBXBST" localSheetId="0" hidden="1">"|B|Cover|B|"</definedName>
    <definedName name="TBXBST" localSheetId="26" hidden="1">"|B|LU|B|"</definedName>
    <definedName name="TBXBST" localSheetId="17" hidden="1">"|B|SSC|B|"</definedName>
    <definedName name="TBXBST" localSheetId="8" hidden="1">"|B|SSC|B|"</definedName>
    <definedName name="TBXBST" localSheetId="11" hidden="1">"|B|SSC|B|"</definedName>
    <definedName name="TBXBST" localSheetId="9" hidden="1">"|B|TA|B||T|All|T||N|1|N||FTSCN|10|FTSCN||TSP|10|TSP|"</definedName>
    <definedName name="TBXBST" localSheetId="12" hidden="1">"|B|TO|B||T|All|T||N|1|N||FTSCN|10|FTSCN||TSP|10|TSP|"</definedName>
    <definedName name="TBXBST" localSheetId="13" hidden="1">"|B|SSC|B|"</definedName>
    <definedName name="TBXBST" localSheetId="14" hidden="1">"|B|TO|B||T|All|T||N|1|N||FTSCN|10|FTSCN||TSP|10|TSP|"</definedName>
    <definedName name="TBXBST" localSheetId="4" hidden="1">"|B|MS|B||P|"</definedName>
    <definedName name="TBXBST" localSheetId="23" hidden="1">"|B|SSC|B|"</definedName>
    <definedName name="TBXBST" localSheetId="20" hidden="1">"|B|SSC|B|"</definedName>
    <definedName name="TBXBST" localSheetId="3" hidden="1">"|B|SSC|B|"</definedName>
    <definedName name="TBXBST" localSheetId="2" hidden="1">"|B|SC|B|"</definedName>
    <definedName name="TBXBST" localSheetId="6" hidden="1">"|B|SSC|B|"</definedName>
    <definedName name="TBXBST" localSheetId="7" hidden="1">"|B|BA|B|"</definedName>
    <definedName name="TBXBST" localSheetId="24" hidden="1">"|B|LU|B|"</definedName>
    <definedName name="Ten">TS_LU!$D$101</definedName>
    <definedName name="Thousand">TS_LU!$D$103</definedName>
    <definedName name="Thousands">TS_LU!$D$65</definedName>
    <definedName name="TOC_Hdg_1" hidden="1">Fcast_TO!$B$29</definedName>
    <definedName name="TOC_Hdg_11" hidden="1">Fcast_TA!$B$37</definedName>
    <definedName name="TOC_Hdg_12" hidden="1">Fcast_TA!$B$85</definedName>
    <definedName name="TOC_Hdg_13" hidden="1">Fcast_TA!$B$102</definedName>
    <definedName name="TOC_Hdg_14" hidden="1">CFS_TO!$B$89</definedName>
    <definedName name="TOC_Hdg_15" hidden="1">Fcast_TO!$B$101</definedName>
    <definedName name="TOC_Hdg_16" hidden="1">Fcast_TO!$B$195</definedName>
    <definedName name="TOC_Hdg_2" hidden="1">Fcast_TO!$B$70</definedName>
    <definedName name="TOC_Hdg_21" hidden="1">Fcast_TO!$B$16</definedName>
    <definedName name="TOC_Hdg_3" hidden="1">Fcast_TA!$B$16</definedName>
    <definedName name="TOC_Hdg_32" hidden="1">Fcast_TO!$B$169</definedName>
    <definedName name="TOC_Hdg_35" hidden="1">CFS_TO!$B$16</definedName>
    <definedName name="TOC_Hdg_36" hidden="1">CFS_TO!$B$53</definedName>
    <definedName name="TOC_Hdg_4" hidden="1">TS_LU!$B$7</definedName>
    <definedName name="TOC_Hdg_5" hidden="1">Fcast_TA!$B$28</definedName>
    <definedName name="TOC_Hdg_6" hidden="1">Checks_BO!$B$7</definedName>
    <definedName name="TOC_Hdg_7" hidden="1">Checks_BO!$B$32</definedName>
    <definedName name="TOC_Hdg_8" hidden="1">Checks_BO!$B$48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H49" i="176"/>
  <c r="H48"/>
  <c r="H47"/>
  <c r="F46"/>
  <c r="I45"/>
  <c r="I44"/>
  <c r="I43"/>
  <c r="H42"/>
  <c r="F41"/>
  <c r="F40"/>
  <c r="D39"/>
  <c r="H38"/>
  <c r="F37"/>
  <c r="I36"/>
  <c r="I35"/>
  <c r="I34"/>
  <c r="H33"/>
  <c r="H32"/>
  <c r="H31"/>
  <c r="F30"/>
  <c r="I29"/>
  <c r="I28"/>
  <c r="I27"/>
  <c r="I26"/>
  <c r="I25"/>
  <c r="I24"/>
  <c r="H23"/>
  <c r="F22"/>
  <c r="D21"/>
  <c r="I20"/>
  <c r="I19"/>
  <c r="I18"/>
  <c r="I17"/>
  <c r="I16"/>
  <c r="H15"/>
  <c r="F14"/>
  <c r="H13"/>
  <c r="F12"/>
  <c r="D11"/>
  <c r="H10"/>
  <c r="F9"/>
  <c r="D8"/>
  <c r="D177" i="138"/>
  <c r="D176"/>
  <c r="D87"/>
  <c r="D75"/>
  <c r="Q51"/>
  <c r="P51"/>
  <c r="O51"/>
  <c r="N51"/>
  <c r="M51"/>
  <c r="L51"/>
  <c r="K51"/>
  <c r="J51"/>
  <c r="Q34"/>
  <c r="P34"/>
  <c r="O34"/>
  <c r="N34"/>
  <c r="M34"/>
  <c r="L34"/>
  <c r="K34"/>
  <c r="J34"/>
  <c r="D34"/>
  <c r="D62" i="135"/>
  <c r="D61"/>
  <c r="D27"/>
  <c r="D26"/>
  <c r="D25"/>
  <c r="D24"/>
  <c r="Q87" i="138" l="1"/>
  <c r="P87"/>
  <c r="O87"/>
  <c r="N87"/>
  <c r="M87"/>
  <c r="L87"/>
  <c r="K87"/>
  <c r="J87"/>
  <c r="Q75"/>
  <c r="P75"/>
  <c r="O75"/>
  <c r="N75"/>
  <c r="M75"/>
  <c r="L75"/>
  <c r="K75"/>
  <c r="J75"/>
  <c r="E28" i="161"/>
  <c r="E27"/>
  <c r="C84" i="138"/>
  <c r="D23" i="135" s="1"/>
  <c r="J88" i="138"/>
  <c r="K88"/>
  <c r="L88"/>
  <c r="M88"/>
  <c r="N88"/>
  <c r="O88"/>
  <c r="P88"/>
  <c r="Q88"/>
  <c r="C72"/>
  <c r="D22" i="135" s="1"/>
  <c r="J76" i="138"/>
  <c r="K76"/>
  <c r="L76"/>
  <c r="M76"/>
  <c r="N76"/>
  <c r="O76"/>
  <c r="P76"/>
  <c r="Q76"/>
  <c r="C48"/>
  <c r="D21" i="135" s="1"/>
  <c r="J57" i="138"/>
  <c r="K57"/>
  <c r="L57"/>
  <c r="M57"/>
  <c r="N57"/>
  <c r="O57"/>
  <c r="P57"/>
  <c r="Q57"/>
  <c r="C31"/>
  <c r="D20" i="135" s="1"/>
  <c r="J40" i="138"/>
  <c r="K40"/>
  <c r="L40"/>
  <c r="M40"/>
  <c r="N40"/>
  <c r="O40"/>
  <c r="P40"/>
  <c r="Q40"/>
  <c r="D34" i="133"/>
  <c r="D24"/>
  <c r="J89" i="138" l="1"/>
  <c r="J177" s="1"/>
  <c r="J77"/>
  <c r="J176" s="1"/>
  <c r="J28" i="161" l="1"/>
  <c r="J27"/>
  <c r="K77" i="138"/>
  <c r="K176" s="1"/>
  <c r="K27" i="161" l="1"/>
  <c r="K89" i="138"/>
  <c r="K177" s="1"/>
  <c r="L77"/>
  <c r="L176" s="1"/>
  <c r="K28" i="161" l="1"/>
  <c r="L27"/>
  <c r="L89" i="138"/>
  <c r="L177" s="1"/>
  <c r="M77"/>
  <c r="M176" s="1"/>
  <c r="L28" i="161" l="1"/>
  <c r="M27"/>
  <c r="M89" i="138"/>
  <c r="M177" s="1"/>
  <c r="N77"/>
  <c r="N176" s="1"/>
  <c r="M28" i="161" l="1"/>
  <c r="N27"/>
  <c r="N89" i="138"/>
  <c r="N177" s="1"/>
  <c r="O77"/>
  <c r="O176" s="1"/>
  <c r="N28" i="161" l="1"/>
  <c r="O27"/>
  <c r="O89" i="138"/>
  <c r="O177" s="1"/>
  <c r="P77"/>
  <c r="P176" s="1"/>
  <c r="O28" i="161" l="1"/>
  <c r="P27"/>
  <c r="P89" i="138"/>
  <c r="P177" s="1"/>
  <c r="Q89"/>
  <c r="Q177" s="1"/>
  <c r="Q77"/>
  <c r="Q176" s="1"/>
  <c r="P28" i="161" l="1"/>
  <c r="Q28"/>
  <c r="Q27"/>
  <c r="D98" i="138" l="1"/>
  <c r="D67"/>
  <c r="D26"/>
  <c r="E116" i="133"/>
  <c r="AQ34" i="180" l="1"/>
  <c r="B21"/>
  <c r="B19"/>
  <c r="B17"/>
  <c r="B16"/>
  <c r="B15"/>
  <c r="B13"/>
  <c r="D74" i="163"/>
  <c r="D73"/>
  <c r="D66"/>
  <c r="D65"/>
  <c r="D50" i="162"/>
  <c r="D32"/>
  <c r="D43"/>
  <c r="D24"/>
  <c r="Q219" i="138"/>
  <c r="Q50" i="162" s="1"/>
  <c r="P219" i="138"/>
  <c r="P50" i="162" s="1"/>
  <c r="O219" i="138"/>
  <c r="O50" i="162" s="1"/>
  <c r="N219" i="138"/>
  <c r="N50" i="162" s="1"/>
  <c r="M219" i="138"/>
  <c r="M50" i="162" s="1"/>
  <c r="L219" i="138"/>
  <c r="L50" i="162" s="1"/>
  <c r="K219" i="138"/>
  <c r="K50" i="162" s="1"/>
  <c r="Q213" i="138"/>
  <c r="Q32" i="162" s="1"/>
  <c r="P213" i="138"/>
  <c r="P32" i="162" s="1"/>
  <c r="O213" i="138"/>
  <c r="O32" i="162" s="1"/>
  <c r="N213" i="138"/>
  <c r="N32" i="162" s="1"/>
  <c r="M213" i="138"/>
  <c r="M32" i="162" s="1"/>
  <c r="L213" i="138"/>
  <c r="L32" i="162" s="1"/>
  <c r="K213" i="138"/>
  <c r="K32" i="162" s="1"/>
  <c r="Q207" i="138"/>
  <c r="Q43" i="162" s="1"/>
  <c r="P207" i="138"/>
  <c r="P43" i="162" s="1"/>
  <c r="O207" i="138"/>
  <c r="O43" i="162" s="1"/>
  <c r="N207" i="138"/>
  <c r="N43" i="162" s="1"/>
  <c r="M207" i="138"/>
  <c r="M43" i="162" s="1"/>
  <c r="L207" i="138"/>
  <c r="L43" i="162" s="1"/>
  <c r="K207" i="138"/>
  <c r="K43" i="162" s="1"/>
  <c r="Q201" i="138"/>
  <c r="Q24" i="162" s="1"/>
  <c r="P201" i="138"/>
  <c r="P24" i="162" s="1"/>
  <c r="O201" i="138"/>
  <c r="O24" i="162" s="1"/>
  <c r="N201" i="138"/>
  <c r="N24" i="162" s="1"/>
  <c r="M201" i="138"/>
  <c r="M24" i="162" s="1"/>
  <c r="L201" i="138"/>
  <c r="L24" i="162" s="1"/>
  <c r="K201" i="138"/>
  <c r="K24" i="162" s="1"/>
  <c r="J219" i="138"/>
  <c r="J50" i="162" s="1"/>
  <c r="J213" i="138"/>
  <c r="J32" i="162" s="1"/>
  <c r="J207" i="138"/>
  <c r="J43" i="162" s="1"/>
  <c r="C215" i="138"/>
  <c r="C209"/>
  <c r="C203"/>
  <c r="J201"/>
  <c r="J24" i="162" s="1"/>
  <c r="C197" i="138"/>
  <c r="C67" i="162"/>
  <c r="D51"/>
  <c r="D44"/>
  <c r="D33"/>
  <c r="D25"/>
  <c r="C108" i="133"/>
  <c r="C104"/>
  <c r="D47" i="163"/>
  <c r="D83" s="1"/>
  <c r="D28"/>
  <c r="D27"/>
  <c r="D37" i="161"/>
  <c r="B20" i="180" s="1"/>
  <c r="D33" i="161"/>
  <c r="B18" i="180" s="1"/>
  <c r="D190" i="138"/>
  <c r="Q183"/>
  <c r="P183"/>
  <c r="O183"/>
  <c r="N183"/>
  <c r="M183"/>
  <c r="L183"/>
  <c r="K183"/>
  <c r="J183"/>
  <c r="D183"/>
  <c r="D178"/>
  <c r="C171"/>
  <c r="C87" i="133"/>
  <c r="Q135" i="138"/>
  <c r="Q46" i="163" s="1"/>
  <c r="Q82" s="1"/>
  <c r="P135" i="138"/>
  <c r="P46" i="163" s="1"/>
  <c r="P82" s="1"/>
  <c r="O135" i="138"/>
  <c r="O46" i="163" s="1"/>
  <c r="O82" s="1"/>
  <c r="N135" i="138"/>
  <c r="N46" i="163" s="1"/>
  <c r="N82" s="1"/>
  <c r="M135" i="138"/>
  <c r="M46" i="163" s="1"/>
  <c r="M82" s="1"/>
  <c r="L135" i="138"/>
  <c r="L46" i="163" s="1"/>
  <c r="L82" s="1"/>
  <c r="K135" i="138"/>
  <c r="K46" i="163" s="1"/>
  <c r="K82" s="1"/>
  <c r="Q134" i="138"/>
  <c r="Q45" i="163" s="1"/>
  <c r="Q81" s="1"/>
  <c r="P134" i="138"/>
  <c r="P45" i="163" s="1"/>
  <c r="P81" s="1"/>
  <c r="O134" i="138"/>
  <c r="O45" i="163" s="1"/>
  <c r="O81" s="1"/>
  <c r="N134" i="138"/>
  <c r="N45" i="163" s="1"/>
  <c r="N81" s="1"/>
  <c r="M134" i="138"/>
  <c r="M45" i="163" s="1"/>
  <c r="M81" s="1"/>
  <c r="L134" i="138"/>
  <c r="L45" i="163" s="1"/>
  <c r="L81" s="1"/>
  <c r="K134" i="138"/>
  <c r="K45" i="163" s="1"/>
  <c r="K81" s="1"/>
  <c r="J135" i="138"/>
  <c r="J46" i="163" s="1"/>
  <c r="J100" s="1"/>
  <c r="J134" i="138"/>
  <c r="J45" i="163" s="1"/>
  <c r="J81" s="1"/>
  <c r="Q154" i="138"/>
  <c r="Q163" s="1"/>
  <c r="P154"/>
  <c r="P162" s="1"/>
  <c r="O154"/>
  <c r="O163" s="1"/>
  <c r="N154"/>
  <c r="N162" s="1"/>
  <c r="M154"/>
  <c r="M163" s="1"/>
  <c r="L154"/>
  <c r="L162" s="1"/>
  <c r="K154"/>
  <c r="K163" s="1"/>
  <c r="J154"/>
  <c r="J163" s="1"/>
  <c r="E154"/>
  <c r="J152"/>
  <c r="E152"/>
  <c r="D138"/>
  <c r="E136"/>
  <c r="E135"/>
  <c r="D46" i="163" s="1"/>
  <c r="D82" s="1"/>
  <c r="E134" i="138"/>
  <c r="D45" i="163" s="1"/>
  <c r="D81" s="1"/>
  <c r="E133" i="138"/>
  <c r="D60" i="133"/>
  <c r="D131" i="138" s="1"/>
  <c r="E74" i="133"/>
  <c r="E162" i="138" s="1"/>
  <c r="E75" i="133"/>
  <c r="E163" i="138" s="1"/>
  <c r="Q120"/>
  <c r="P120"/>
  <c r="O120"/>
  <c r="N120"/>
  <c r="M120"/>
  <c r="L120"/>
  <c r="K120"/>
  <c r="J120"/>
  <c r="Q115"/>
  <c r="P115"/>
  <c r="O115"/>
  <c r="N115"/>
  <c r="M115"/>
  <c r="L115"/>
  <c r="K115"/>
  <c r="Q114"/>
  <c r="P114"/>
  <c r="O114"/>
  <c r="N114"/>
  <c r="M114"/>
  <c r="L114"/>
  <c r="K114"/>
  <c r="J115"/>
  <c r="J114"/>
  <c r="Q109"/>
  <c r="Q44" i="163" s="1"/>
  <c r="Q80" s="1"/>
  <c r="P109" i="138"/>
  <c r="P44" i="163" s="1"/>
  <c r="P80" s="1"/>
  <c r="O109" i="138"/>
  <c r="O44" i="163" s="1"/>
  <c r="O80" s="1"/>
  <c r="N109" i="138"/>
  <c r="N44" i="163" s="1"/>
  <c r="N80" s="1"/>
  <c r="M109" i="138"/>
  <c r="M44" i="163" s="1"/>
  <c r="M80" s="1"/>
  <c r="L109" i="138"/>
  <c r="L44" i="163" s="1"/>
  <c r="L80" s="1"/>
  <c r="K109" i="138"/>
  <c r="K44" i="163" s="1"/>
  <c r="K80" s="1"/>
  <c r="Q108" i="138"/>
  <c r="Q43" i="163" s="1"/>
  <c r="Q79" s="1"/>
  <c r="P108" i="138"/>
  <c r="P43" i="163" s="1"/>
  <c r="P79" s="1"/>
  <c r="O108" i="138"/>
  <c r="O43" i="163" s="1"/>
  <c r="O79" s="1"/>
  <c r="N108" i="138"/>
  <c r="N43" i="163" s="1"/>
  <c r="N79" s="1"/>
  <c r="M108" i="138"/>
  <c r="M43" i="163" s="1"/>
  <c r="M79" s="1"/>
  <c r="L108" i="138"/>
  <c r="L43" i="163" s="1"/>
  <c r="L79" s="1"/>
  <c r="K108" i="138"/>
  <c r="K43" i="163" s="1"/>
  <c r="K79" s="1"/>
  <c r="J109" i="138"/>
  <c r="J44" i="163" s="1"/>
  <c r="J97" s="1"/>
  <c r="J108" i="138"/>
  <c r="J43" i="163" s="1"/>
  <c r="J79" s="1"/>
  <c r="E107" i="138"/>
  <c r="E108"/>
  <c r="D43" i="163" s="1"/>
  <c r="D79" s="1"/>
  <c r="E109" i="138"/>
  <c r="D44" i="163" s="1"/>
  <c r="D80" s="1"/>
  <c r="E110" i="138"/>
  <c r="D112"/>
  <c r="E114"/>
  <c r="E115"/>
  <c r="E116"/>
  <c r="E120"/>
  <c r="E124"/>
  <c r="E125"/>
  <c r="D41" i="133"/>
  <c r="D105" i="138" s="1"/>
  <c r="J56" i="133"/>
  <c r="K56"/>
  <c r="L56"/>
  <c r="M56"/>
  <c r="N56"/>
  <c r="O56"/>
  <c r="P56"/>
  <c r="Q56"/>
  <c r="N58" i="180" l="1"/>
  <c r="O58"/>
  <c r="Q58"/>
  <c r="S58"/>
  <c r="P59"/>
  <c r="R59"/>
  <c r="N59"/>
  <c r="P58"/>
  <c r="R58"/>
  <c r="O59"/>
  <c r="Q59"/>
  <c r="S59"/>
  <c r="J162" i="138"/>
  <c r="K162"/>
  <c r="M162"/>
  <c r="O162"/>
  <c r="Q162"/>
  <c r="L163"/>
  <c r="N163"/>
  <c r="P163"/>
  <c r="D96" i="163"/>
  <c r="J96"/>
  <c r="K96"/>
  <c r="M96"/>
  <c r="O96"/>
  <c r="Q96"/>
  <c r="L97"/>
  <c r="N97"/>
  <c r="P97"/>
  <c r="D99"/>
  <c r="J99"/>
  <c r="K99"/>
  <c r="M99"/>
  <c r="O99"/>
  <c r="Q99"/>
  <c r="L100"/>
  <c r="N100"/>
  <c r="P100"/>
  <c r="J80"/>
  <c r="J82"/>
  <c r="D97"/>
  <c r="L96"/>
  <c r="N96"/>
  <c r="P96"/>
  <c r="K97"/>
  <c r="M97"/>
  <c r="O97"/>
  <c r="Q97"/>
  <c r="D100"/>
  <c r="L99"/>
  <c r="N99"/>
  <c r="P99"/>
  <c r="K100"/>
  <c r="M100"/>
  <c r="O100"/>
  <c r="Q100"/>
  <c r="K116" i="138"/>
  <c r="M116"/>
  <c r="O116"/>
  <c r="Q116"/>
  <c r="L116"/>
  <c r="N116"/>
  <c r="P116"/>
  <c r="AW43" i="180" l="1"/>
  <c r="J12" i="131"/>
  <c r="D114" i="163"/>
  <c r="C117"/>
  <c r="C116"/>
  <c r="C76" i="162"/>
  <c r="C75"/>
  <c r="C46" i="161"/>
  <c r="B7" i="174"/>
  <c r="D103" i="163"/>
  <c r="D102"/>
  <c r="D95"/>
  <c r="D93"/>
  <c r="C86"/>
  <c r="C77"/>
  <c r="C69"/>
  <c r="D64"/>
  <c r="D63"/>
  <c r="D62"/>
  <c r="D61"/>
  <c r="C55"/>
  <c r="D48"/>
  <c r="D84" s="1"/>
  <c r="D39"/>
  <c r="D75" s="1"/>
  <c r="D31"/>
  <c r="D91" s="1"/>
  <c r="Q12"/>
  <c r="P12"/>
  <c r="O12"/>
  <c r="N12"/>
  <c r="M12"/>
  <c r="L12"/>
  <c r="K12"/>
  <c r="J12"/>
  <c r="J8" s="1"/>
  <c r="B16" i="162"/>
  <c r="Q12"/>
  <c r="Q62" s="1"/>
  <c r="P12"/>
  <c r="P62" s="1"/>
  <c r="O12"/>
  <c r="O62" s="1"/>
  <c r="N12"/>
  <c r="N62" s="1"/>
  <c r="M12"/>
  <c r="M62" s="1"/>
  <c r="L12"/>
  <c r="L62" s="1"/>
  <c r="K12"/>
  <c r="K62" s="1"/>
  <c r="J12"/>
  <c r="B16" i="161"/>
  <c r="Q12"/>
  <c r="P12"/>
  <c r="O12"/>
  <c r="N12"/>
  <c r="M12"/>
  <c r="L12"/>
  <c r="K12"/>
  <c r="J12"/>
  <c r="J8" s="1"/>
  <c r="Q12" i="138"/>
  <c r="P12"/>
  <c r="O12"/>
  <c r="N12"/>
  <c r="M12"/>
  <c r="L12"/>
  <c r="K12"/>
  <c r="J12"/>
  <c r="D54" i="135"/>
  <c r="D38"/>
  <c r="D13"/>
  <c r="Q12" i="133"/>
  <c r="P12"/>
  <c r="O12"/>
  <c r="N12"/>
  <c r="M12"/>
  <c r="L12"/>
  <c r="K12"/>
  <c r="J12"/>
  <c r="J27" i="131"/>
  <c r="J18"/>
  <c r="D13" i="130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J86" i="138" l="1"/>
  <c r="J74"/>
  <c r="J50"/>
  <c r="J33"/>
  <c r="Q118"/>
  <c r="Q119" s="1"/>
  <c r="O118"/>
  <c r="O119" s="1"/>
  <c r="M118"/>
  <c r="M119" s="1"/>
  <c r="K118"/>
  <c r="K119" s="1"/>
  <c r="D56"/>
  <c r="E118"/>
  <c r="P118"/>
  <c r="N118"/>
  <c r="L118"/>
  <c r="L119" s="1"/>
  <c r="J118"/>
  <c r="D39"/>
  <c r="N119"/>
  <c r="P119"/>
  <c r="J189"/>
  <c r="J191" s="1"/>
  <c r="J28" i="163" s="1"/>
  <c r="J217" i="138"/>
  <c r="J218" s="1"/>
  <c r="J38" i="163" s="1"/>
  <c r="J74" s="1"/>
  <c r="J211" i="138"/>
  <c r="J212" s="1"/>
  <c r="J37" i="163" s="1"/>
  <c r="J205" i="138"/>
  <c r="J206" s="1"/>
  <c r="J30" i="163" s="1"/>
  <c r="J66" s="1"/>
  <c r="J199" i="138"/>
  <c r="J200" s="1"/>
  <c r="J29" i="163" s="1"/>
  <c r="J65" s="1"/>
  <c r="L217" i="138"/>
  <c r="L218" s="1"/>
  <c r="L38" i="163" s="1"/>
  <c r="L74" s="1"/>
  <c r="L211" i="138"/>
  <c r="L212" s="1"/>
  <c r="L37" i="163" s="1"/>
  <c r="L205" i="138"/>
  <c r="L206" s="1"/>
  <c r="L30" i="163" s="1"/>
  <c r="L66" s="1"/>
  <c r="L199" i="138"/>
  <c r="L200" s="1"/>
  <c r="L29" i="163" s="1"/>
  <c r="L65" s="1"/>
  <c r="N217" i="138"/>
  <c r="N218" s="1"/>
  <c r="N38" i="163" s="1"/>
  <c r="N74" s="1"/>
  <c r="N211" i="138"/>
  <c r="N212" s="1"/>
  <c r="N37" i="163" s="1"/>
  <c r="N205" i="138"/>
  <c r="N206" s="1"/>
  <c r="N30" i="163" s="1"/>
  <c r="N66" s="1"/>
  <c r="N199" i="138"/>
  <c r="N200" s="1"/>
  <c r="N29" i="163" s="1"/>
  <c r="N65" s="1"/>
  <c r="P217" i="138"/>
  <c r="P218" s="1"/>
  <c r="P38" i="163" s="1"/>
  <c r="P74" s="1"/>
  <c r="P211" i="138"/>
  <c r="P212" s="1"/>
  <c r="P37" i="163" s="1"/>
  <c r="P73" s="1"/>
  <c r="P205" i="138"/>
  <c r="P206" s="1"/>
  <c r="P30" i="163" s="1"/>
  <c r="P66" s="1"/>
  <c r="P199" i="138"/>
  <c r="P200" s="1"/>
  <c r="P29" i="163" s="1"/>
  <c r="P65" s="1"/>
  <c r="K217" i="138"/>
  <c r="K218" s="1"/>
  <c r="K38" i="163" s="1"/>
  <c r="K74" s="1"/>
  <c r="K211" i="138"/>
  <c r="K212" s="1"/>
  <c r="K37" i="163" s="1"/>
  <c r="K205" i="138"/>
  <c r="K206" s="1"/>
  <c r="K30" i="163" s="1"/>
  <c r="K66" s="1"/>
  <c r="K199" i="138"/>
  <c r="K200" s="1"/>
  <c r="K29" i="163" s="1"/>
  <c r="K65" s="1"/>
  <c r="M217" i="138"/>
  <c r="M218" s="1"/>
  <c r="M38" i="163" s="1"/>
  <c r="M74" s="1"/>
  <c r="M211" i="138"/>
  <c r="M212" s="1"/>
  <c r="M37" i="163" s="1"/>
  <c r="M205" i="138"/>
  <c r="M206" s="1"/>
  <c r="M30" i="163" s="1"/>
  <c r="M66" s="1"/>
  <c r="M199" i="138"/>
  <c r="M200" s="1"/>
  <c r="M29" i="163" s="1"/>
  <c r="M65" s="1"/>
  <c r="O217" i="138"/>
  <c r="O218" s="1"/>
  <c r="O38" i="163" s="1"/>
  <c r="O74" s="1"/>
  <c r="O211" i="138"/>
  <c r="O212" s="1"/>
  <c r="O37" i="163" s="1"/>
  <c r="O205" i="138"/>
  <c r="O206" s="1"/>
  <c r="O30" i="163" s="1"/>
  <c r="O66" s="1"/>
  <c r="O199" i="138"/>
  <c r="O200" s="1"/>
  <c r="O29" i="163" s="1"/>
  <c r="O65" s="1"/>
  <c r="Q217" i="138"/>
  <c r="Q218" s="1"/>
  <c r="Q38" i="163" s="1"/>
  <c r="Q74" s="1"/>
  <c r="Q211" i="138"/>
  <c r="Q212" s="1"/>
  <c r="Q37" i="163" s="1"/>
  <c r="Q73" s="1"/>
  <c r="Q205" i="138"/>
  <c r="Q206" s="1"/>
  <c r="Q30" i="163" s="1"/>
  <c r="Q66" s="1"/>
  <c r="Q199" i="138"/>
  <c r="Q200" s="1"/>
  <c r="Q29" i="163" s="1"/>
  <c r="Q65" s="1"/>
  <c r="J8" i="162"/>
  <c r="J61"/>
  <c r="J156" i="138" s="1"/>
  <c r="J20" i="162"/>
  <c r="J159" i="138" s="1"/>
  <c r="J133"/>
  <c r="J136" s="1"/>
  <c r="K133" s="1"/>
  <c r="K136" s="1"/>
  <c r="L133" s="1"/>
  <c r="L136" s="1"/>
  <c r="M133" s="1"/>
  <c r="M136" s="1"/>
  <c r="N133" s="1"/>
  <c r="N136" s="1"/>
  <c r="O133" s="1"/>
  <c r="O136" s="1"/>
  <c r="P133" s="1"/>
  <c r="P136" s="1"/>
  <c r="Q133" s="1"/>
  <c r="Q136" s="1"/>
  <c r="J140"/>
  <c r="J124"/>
  <c r="J107"/>
  <c r="J116"/>
  <c r="J21" i="131"/>
  <c r="D67" i="163"/>
  <c r="D92"/>
  <c r="J22" i="131"/>
  <c r="J8" i="138"/>
  <c r="J8" i="133"/>
  <c r="J16" i="131"/>
  <c r="J20"/>
  <c r="J17"/>
  <c r="O73" i="163" l="1"/>
  <c r="S55" i="180"/>
  <c r="M73" i="163"/>
  <c r="Q55" i="180"/>
  <c r="K73" i="163"/>
  <c r="O55" i="180"/>
  <c r="N73" i="163"/>
  <c r="R55" i="180"/>
  <c r="L73" i="163"/>
  <c r="P55" i="180"/>
  <c r="J73" i="163"/>
  <c r="N55" i="180"/>
  <c r="J65" i="133"/>
  <c r="J110" i="138"/>
  <c r="B6"/>
  <c r="B6" i="133"/>
  <c r="B6" i="161"/>
  <c r="B6" i="162"/>
  <c r="B6" i="163"/>
  <c r="J59" i="162"/>
  <c r="N40" i="180" s="1"/>
  <c r="K62" i="133"/>
  <c r="J19" i="131"/>
  <c r="J23" s="1"/>
  <c r="K107" i="138" l="1"/>
  <c r="K110" s="1"/>
  <c r="J48" i="162"/>
  <c r="J51" s="1"/>
  <c r="J121" i="138"/>
  <c r="J46" i="133"/>
  <c r="J53" i="131"/>
  <c r="J55" s="1"/>
  <c r="J54" s="1"/>
  <c r="J56" s="1"/>
  <c r="K11" i="162"/>
  <c r="Q11" i="161"/>
  <c r="Q11" i="163"/>
  <c r="L11" i="138"/>
  <c r="N11" i="133"/>
  <c r="O11" i="138"/>
  <c r="K11" i="133"/>
  <c r="L11" i="163"/>
  <c r="Q11" i="162"/>
  <c r="K11" i="161"/>
  <c r="K11" i="163"/>
  <c r="P11" i="162"/>
  <c r="L11" i="161"/>
  <c r="M11" i="133"/>
  <c r="L11"/>
  <c r="M11" i="138"/>
  <c r="N11" i="163"/>
  <c r="O11" i="162"/>
  <c r="J11"/>
  <c r="M11" i="161"/>
  <c r="M11" i="163"/>
  <c r="N11" i="162"/>
  <c r="N11" i="161"/>
  <c r="Q11" i="133"/>
  <c r="P11" i="138"/>
  <c r="K11"/>
  <c r="J11"/>
  <c r="P11" i="163"/>
  <c r="M11" i="162"/>
  <c r="O11" i="161"/>
  <c r="J11"/>
  <c r="O11" i="163"/>
  <c r="J11"/>
  <c r="L11" i="162"/>
  <c r="P11" i="161"/>
  <c r="N11" i="138"/>
  <c r="P11" i="133"/>
  <c r="J11"/>
  <c r="Q11" i="138"/>
  <c r="O11" i="133"/>
  <c r="J25" i="131"/>
  <c r="J24"/>
  <c r="P10" i="133"/>
  <c r="N10"/>
  <c r="J10"/>
  <c r="J7" s="1"/>
  <c r="D12" i="182" s="1"/>
  <c r="Q10" i="133"/>
  <c r="Q7" s="1"/>
  <c r="D19" i="182" s="1"/>
  <c r="M10" i="138"/>
  <c r="M7" s="1"/>
  <c r="J9" i="162"/>
  <c r="J9" i="161"/>
  <c r="J9" i="163"/>
  <c r="B7" i="161"/>
  <c r="B7" i="163"/>
  <c r="B7" i="162"/>
  <c r="J46" i="131"/>
  <c r="L10" i="133"/>
  <c r="L7" s="1"/>
  <c r="D14" i="182" s="1"/>
  <c r="N10" i="138"/>
  <c r="N7" s="1"/>
  <c r="M10" i="133"/>
  <c r="M7" s="1"/>
  <c r="D15" i="182" s="1"/>
  <c r="J10" i="138"/>
  <c r="J7" s="1"/>
  <c r="Q10"/>
  <c r="Q7" s="1"/>
  <c r="J10" i="161"/>
  <c r="M10"/>
  <c r="Q10"/>
  <c r="J10" i="162"/>
  <c r="M10"/>
  <c r="Q10"/>
  <c r="L10" i="163"/>
  <c r="P10"/>
  <c r="N10" i="161"/>
  <c r="N10" i="162"/>
  <c r="K10" i="163"/>
  <c r="O10"/>
  <c r="P9"/>
  <c r="L9"/>
  <c r="Q9" i="162"/>
  <c r="M9"/>
  <c r="O9" i="161"/>
  <c r="K9"/>
  <c r="O9" i="163"/>
  <c r="K9"/>
  <c r="P9" i="162"/>
  <c r="L9"/>
  <c r="P9" i="161"/>
  <c r="L9"/>
  <c r="N9" i="163"/>
  <c r="O9" i="162"/>
  <c r="K9"/>
  <c r="Q9" i="161"/>
  <c r="M9"/>
  <c r="Q9" i="163"/>
  <c r="M9"/>
  <c r="N9" i="162"/>
  <c r="N9" i="161"/>
  <c r="K10"/>
  <c r="O10"/>
  <c r="K10" i="162"/>
  <c r="O10"/>
  <c r="N10" i="163"/>
  <c r="L10" i="161"/>
  <c r="P10"/>
  <c r="L10" i="162"/>
  <c r="P10"/>
  <c r="J10" i="163"/>
  <c r="M10"/>
  <c r="Q10"/>
  <c r="K65" i="133"/>
  <c r="M45" i="135"/>
  <c r="I39" s="1"/>
  <c r="N7" i="133"/>
  <c r="D16" i="182" s="1"/>
  <c r="P7" i="133"/>
  <c r="D18" i="182" s="1"/>
  <c r="Q13" i="133"/>
  <c r="N9" i="138"/>
  <c r="Q9" i="133"/>
  <c r="P9" i="138"/>
  <c r="N9" i="133"/>
  <c r="M9"/>
  <c r="O9"/>
  <c r="K9" i="138"/>
  <c r="O9"/>
  <c r="L9" i="133"/>
  <c r="P9"/>
  <c r="K9"/>
  <c r="L9" i="138"/>
  <c r="M9"/>
  <c r="Q9"/>
  <c r="J9" i="133"/>
  <c r="J21" s="1"/>
  <c r="J9" i="138"/>
  <c r="B7" i="133"/>
  <c r="B7" i="138"/>
  <c r="L10"/>
  <c r="P10"/>
  <c r="K10" i="133"/>
  <c r="O10"/>
  <c r="K10" i="138"/>
  <c r="O10"/>
  <c r="J57" i="131"/>
  <c r="J58"/>
  <c r="J47"/>
  <c r="J48" s="1"/>
  <c r="J119" i="138" l="1"/>
  <c r="J37"/>
  <c r="K33" s="1"/>
  <c r="J54"/>
  <c r="AU38" i="180"/>
  <c r="AU47"/>
  <c r="K43" i="133"/>
  <c r="Q13" i="138"/>
  <c r="L107"/>
  <c r="L110" s="1"/>
  <c r="K48" i="162"/>
  <c r="K51" s="1"/>
  <c r="M13" i="138"/>
  <c r="N13"/>
  <c r="M13" i="133"/>
  <c r="P13"/>
  <c r="K121" i="138"/>
  <c r="K122" s="1"/>
  <c r="K33" i="161" s="1"/>
  <c r="O18" i="180" s="1"/>
  <c r="L13" i="133"/>
  <c r="N13"/>
  <c r="J122" i="138"/>
  <c r="J33" i="161" s="1"/>
  <c r="N18" i="180" s="1"/>
  <c r="L43" i="133"/>
  <c r="K46"/>
  <c r="J13"/>
  <c r="J13" i="138"/>
  <c r="B28" i="180"/>
  <c r="B47"/>
  <c r="AP7"/>
  <c r="B9"/>
  <c r="K8" i="138"/>
  <c r="K37" s="1"/>
  <c r="L33" s="1"/>
  <c r="J6"/>
  <c r="K8" i="133"/>
  <c r="K21" s="1"/>
  <c r="J6"/>
  <c r="N8" i="138"/>
  <c r="N54" s="1"/>
  <c r="M6"/>
  <c r="L8" i="133"/>
  <c r="L21" s="1"/>
  <c r="K6"/>
  <c r="M8"/>
  <c r="M21" s="1"/>
  <c r="L6"/>
  <c r="P8" i="138"/>
  <c r="P54" s="1"/>
  <c r="O6"/>
  <c r="N8" i="133"/>
  <c r="N21" s="1"/>
  <c r="M6"/>
  <c r="Q8" i="138"/>
  <c r="Q54" s="1"/>
  <c r="Q62" s="1"/>
  <c r="P6"/>
  <c r="O8"/>
  <c r="O54" s="1"/>
  <c r="N6"/>
  <c r="Q6" i="163"/>
  <c r="N8" i="161"/>
  <c r="M6"/>
  <c r="L8" i="162"/>
  <c r="K6"/>
  <c r="M8" i="161"/>
  <c r="L6"/>
  <c r="M8" i="162"/>
  <c r="L6"/>
  <c r="L8" i="163"/>
  <c r="K6"/>
  <c r="P8" i="161"/>
  <c r="O6"/>
  <c r="N8" i="162"/>
  <c r="M6"/>
  <c r="M8" i="163"/>
  <c r="L6"/>
  <c r="K8"/>
  <c r="J6"/>
  <c r="K8" i="161"/>
  <c r="J6"/>
  <c r="Q6" i="138"/>
  <c r="M8"/>
  <c r="M37" s="1"/>
  <c r="N33" s="1"/>
  <c r="L6"/>
  <c r="Q8" i="133"/>
  <c r="Q21" s="1"/>
  <c r="P6"/>
  <c r="L8" i="138"/>
  <c r="L37" s="1"/>
  <c r="M33" s="1"/>
  <c r="K6"/>
  <c r="P8" i="133"/>
  <c r="P21" s="1"/>
  <c r="O6"/>
  <c r="O8"/>
  <c r="O21" s="1"/>
  <c r="N6"/>
  <c r="Q6"/>
  <c r="O8" i="161"/>
  <c r="N6"/>
  <c r="O8" i="162"/>
  <c r="N6"/>
  <c r="N8" i="163"/>
  <c r="M6"/>
  <c r="Q6" i="161"/>
  <c r="P8" i="162"/>
  <c r="O6"/>
  <c r="O8" i="163"/>
  <c r="N6"/>
  <c r="Q8" i="161"/>
  <c r="P6"/>
  <c r="Q8" i="162"/>
  <c r="P6"/>
  <c r="P8" i="163"/>
  <c r="O6"/>
  <c r="L8" i="161"/>
  <c r="K6"/>
  <c r="Q6" i="162"/>
  <c r="Q8" i="163"/>
  <c r="P6"/>
  <c r="K8" i="162"/>
  <c r="J6"/>
  <c r="K59"/>
  <c r="O40" i="180" s="1"/>
  <c r="L62" i="133"/>
  <c r="M13" i="163"/>
  <c r="M7"/>
  <c r="P13" i="162"/>
  <c r="P7"/>
  <c r="P13" i="161"/>
  <c r="P7"/>
  <c r="BD7" i="180" s="1"/>
  <c r="N13" i="163"/>
  <c r="N7"/>
  <c r="O13" i="162"/>
  <c r="O7"/>
  <c r="K13" i="161"/>
  <c r="K7"/>
  <c r="K13" i="163"/>
  <c r="K7"/>
  <c r="N13" i="162"/>
  <c r="N7"/>
  <c r="N13" i="161"/>
  <c r="N7"/>
  <c r="L13" i="163"/>
  <c r="L7"/>
  <c r="M13" i="162"/>
  <c r="M7"/>
  <c r="Q13" i="161"/>
  <c r="Q7"/>
  <c r="BE7" i="180" s="1"/>
  <c r="J13" i="161"/>
  <c r="J7"/>
  <c r="Q13" i="163"/>
  <c r="Q7"/>
  <c r="J13"/>
  <c r="J7"/>
  <c r="L13" i="162"/>
  <c r="L7"/>
  <c r="L13" i="161"/>
  <c r="L7"/>
  <c r="K13" i="162"/>
  <c r="K7"/>
  <c r="O13" i="161"/>
  <c r="O7"/>
  <c r="O13" i="163"/>
  <c r="O7"/>
  <c r="P13"/>
  <c r="P7"/>
  <c r="Q13" i="162"/>
  <c r="Q7"/>
  <c r="J13"/>
  <c r="J7"/>
  <c r="M13" i="161"/>
  <c r="M7"/>
  <c r="N35" i="180"/>
  <c r="I38" i="135"/>
  <c r="K13" i="138"/>
  <c r="K7"/>
  <c r="O7" i="133"/>
  <c r="D17" i="182" s="1"/>
  <c r="O13" i="133"/>
  <c r="P7" i="138"/>
  <c r="P13"/>
  <c r="O13"/>
  <c r="O7"/>
  <c r="K7" i="133"/>
  <c r="D13" i="182" s="1"/>
  <c r="K13" i="133"/>
  <c r="L7" i="138"/>
  <c r="L13"/>
  <c r="J49" i="131"/>
  <c r="O62" i="138" l="1"/>
  <c r="P50"/>
  <c r="P62"/>
  <c r="Q50"/>
  <c r="N62"/>
  <c r="O50"/>
  <c r="J62"/>
  <c r="K50"/>
  <c r="O37"/>
  <c r="P33" s="1"/>
  <c r="L54"/>
  <c r="Q37"/>
  <c r="N37"/>
  <c r="O33" s="1"/>
  <c r="P37"/>
  <c r="Q33" s="1"/>
  <c r="K54"/>
  <c r="M54"/>
  <c r="I21" i="133"/>
  <c r="M107" i="138"/>
  <c r="M43" i="133" s="1"/>
  <c r="L48" i="162"/>
  <c r="L51" s="1"/>
  <c r="K125" i="138"/>
  <c r="K126" s="1"/>
  <c r="K27" i="163" s="1"/>
  <c r="K178" i="138"/>
  <c r="J125"/>
  <c r="J126" s="1"/>
  <c r="J178"/>
  <c r="L121"/>
  <c r="L122" s="1"/>
  <c r="L33" i="161" s="1"/>
  <c r="P18" i="180" s="1"/>
  <c r="L46" i="133"/>
  <c r="N47" i="180"/>
  <c r="AX7"/>
  <c r="N9"/>
  <c r="N28"/>
  <c r="R47"/>
  <c r="BB7"/>
  <c r="R9"/>
  <c r="R28"/>
  <c r="AY7"/>
  <c r="O9"/>
  <c r="O28"/>
  <c r="O47"/>
  <c r="Q28"/>
  <c r="Q47"/>
  <c r="BA7"/>
  <c r="Q9"/>
  <c r="BC7"/>
  <c r="S9"/>
  <c r="S28"/>
  <c r="S47"/>
  <c r="P9"/>
  <c r="P28"/>
  <c r="P47"/>
  <c r="AZ7"/>
  <c r="L65" i="133"/>
  <c r="M62" i="138" l="1"/>
  <c r="N50"/>
  <c r="K62"/>
  <c r="L50"/>
  <c r="L62"/>
  <c r="M50"/>
  <c r="M110"/>
  <c r="N107" s="1"/>
  <c r="N43" i="133" s="1"/>
  <c r="J127" i="138"/>
  <c r="J27" i="163"/>
  <c r="J93" s="1"/>
  <c r="L125" i="138"/>
  <c r="L126" s="1"/>
  <c r="L27" i="163" s="1"/>
  <c r="L178" i="138"/>
  <c r="L59" i="162"/>
  <c r="P40" i="180" s="1"/>
  <c r="M62" i="133"/>
  <c r="O35" i="180"/>
  <c r="M121" i="138" l="1"/>
  <c r="M122" s="1"/>
  <c r="M33" i="161" s="1"/>
  <c r="Q18" i="180" s="1"/>
  <c r="M46" i="133"/>
  <c r="M48" i="162"/>
  <c r="M51" s="1"/>
  <c r="N110" i="138"/>
  <c r="O107" s="1"/>
  <c r="K124"/>
  <c r="K127" s="1"/>
  <c r="J41" i="162"/>
  <c r="J59" i="163"/>
  <c r="M178" i="138"/>
  <c r="J63" i="163"/>
  <c r="J95"/>
  <c r="K59"/>
  <c r="K95"/>
  <c r="K63"/>
  <c r="K93"/>
  <c r="M65" i="133"/>
  <c r="N121" i="138" l="1"/>
  <c r="N122" s="1"/>
  <c r="N33" i="161" s="1"/>
  <c r="R18" i="180" s="1"/>
  <c r="M125" i="138"/>
  <c r="M126" s="1"/>
  <c r="M27" i="163" s="1"/>
  <c r="N46" i="133"/>
  <c r="N48" i="162"/>
  <c r="N51" s="1"/>
  <c r="O43" i="133"/>
  <c r="O110" i="138"/>
  <c r="P107" s="1"/>
  <c r="P110" s="1"/>
  <c r="L124"/>
  <c r="L127" s="1"/>
  <c r="K41" i="162"/>
  <c r="N125" i="138"/>
  <c r="N126" s="1"/>
  <c r="N27" i="163" s="1"/>
  <c r="N178" i="138"/>
  <c r="M59" i="162"/>
  <c r="Q40" i="180" s="1"/>
  <c r="N62" i="133"/>
  <c r="P35" i="180"/>
  <c r="O46" i="133" l="1"/>
  <c r="O48" i="162"/>
  <c r="O51" s="1"/>
  <c r="O121" i="138"/>
  <c r="O122" s="1"/>
  <c r="O33" i="161" s="1"/>
  <c r="S18" i="180" s="1"/>
  <c r="P43" i="133"/>
  <c r="Q107" i="138"/>
  <c r="Q43" i="133" s="1"/>
  <c r="P48" i="162"/>
  <c r="P51" s="1"/>
  <c r="M124" i="138"/>
  <c r="M127" s="1"/>
  <c r="L41" i="162"/>
  <c r="O125" i="138"/>
  <c r="O126" s="1"/>
  <c r="O27" i="163" s="1"/>
  <c r="P121" i="138"/>
  <c r="P122" s="1"/>
  <c r="P33" i="161" s="1"/>
  <c r="P46" i="133"/>
  <c r="L95" i="163"/>
  <c r="L63"/>
  <c r="L93"/>
  <c r="N65" i="133"/>
  <c r="O178" i="138" l="1"/>
  <c r="Q110"/>
  <c r="Q121" s="1"/>
  <c r="Q122" s="1"/>
  <c r="Q33" i="161" s="1"/>
  <c r="N124" i="138"/>
  <c r="N127" s="1"/>
  <c r="M41" i="162"/>
  <c r="P125" i="138"/>
  <c r="P126" s="1"/>
  <c r="P27" i="163" s="1"/>
  <c r="P178" i="138"/>
  <c r="L59" i="163"/>
  <c r="N59" i="162"/>
  <c r="R40" i="180" s="1"/>
  <c r="O62" i="133"/>
  <c r="Q35" i="180"/>
  <c r="Q46" i="133" l="1"/>
  <c r="Q48" i="162"/>
  <c r="Q51" s="1"/>
  <c r="Q125" i="138"/>
  <c r="Q126" s="1"/>
  <c r="Q27" i="163" s="1"/>
  <c r="Q178" i="138"/>
  <c r="O124"/>
  <c r="O127" s="1"/>
  <c r="N41" i="162"/>
  <c r="M93" i="163"/>
  <c r="M95"/>
  <c r="M63"/>
  <c r="O65" i="133"/>
  <c r="P124" i="138" l="1"/>
  <c r="P127" s="1"/>
  <c r="O41" i="162"/>
  <c r="M59" i="163"/>
  <c r="O59" i="162"/>
  <c r="S40" i="180" s="1"/>
  <c r="P62" i="133"/>
  <c r="R35" i="180"/>
  <c r="Q124" i="138" l="1"/>
  <c r="Q127" s="1"/>
  <c r="Q41" i="162" s="1"/>
  <c r="P41"/>
  <c r="N59" i="163"/>
  <c r="N93"/>
  <c r="N95"/>
  <c r="N63"/>
  <c r="Q62" i="133" l="1"/>
  <c r="P65"/>
  <c r="S35" i="180"/>
  <c r="P59" i="162"/>
  <c r="O95" i="163" l="1"/>
  <c r="O63"/>
  <c r="O93"/>
  <c r="J64"/>
  <c r="Q65" i="133"/>
  <c r="O59" i="163" l="1"/>
  <c r="Q59" i="162"/>
  <c r="P59" i="163" l="1"/>
  <c r="P63"/>
  <c r="P95"/>
  <c r="P93"/>
  <c r="Q59" l="1"/>
  <c r="Q93"/>
  <c r="Q95"/>
  <c r="Q63"/>
  <c r="D36" l="1"/>
  <c r="D72" s="1"/>
  <c r="D35" l="1"/>
  <c r="D71" s="1"/>
  <c r="AU17" i="180" l="1"/>
  <c r="E23" i="163"/>
  <c r="AQ19" i="180"/>
  <c r="D174" i="138"/>
  <c r="D19" i="161"/>
  <c r="AQ13" i="180"/>
  <c r="AU11"/>
  <c r="E20" i="163"/>
  <c r="D173" i="138"/>
  <c r="D18" i="161"/>
  <c r="AU23" i="180"/>
  <c r="D23" i="161"/>
  <c r="E24" i="163"/>
  <c r="AQ25" i="180"/>
  <c r="D175" i="138"/>
  <c r="B14" i="180" l="1"/>
  <c r="AQ33"/>
  <c r="AQ31"/>
  <c r="B11"/>
  <c r="AQ32"/>
  <c r="B12"/>
  <c r="J20" i="163"/>
  <c r="AX13" i="180"/>
  <c r="J173" i="138"/>
  <c r="J18" i="161"/>
  <c r="J23" i="163"/>
  <c r="AX19" i="180"/>
  <c r="J174" i="138"/>
  <c r="J19" i="161"/>
  <c r="J36" i="163"/>
  <c r="J72" s="1"/>
  <c r="J35"/>
  <c r="K36"/>
  <c r="K72" s="1"/>
  <c r="AY25" i="180" l="1"/>
  <c r="K23" i="161"/>
  <c r="K175" i="138"/>
  <c r="K24" i="163"/>
  <c r="K20"/>
  <c r="K18" i="161"/>
  <c r="AY13" i="180"/>
  <c r="K173" i="138"/>
  <c r="K23" i="163"/>
  <c r="K19" i="161"/>
  <c r="AY19" i="180"/>
  <c r="K174" i="138"/>
  <c r="AX25" i="180"/>
  <c r="J23" i="161"/>
  <c r="J175" i="138"/>
  <c r="J24" i="163"/>
  <c r="N54" i="180"/>
  <c r="N56" s="1"/>
  <c r="J39" i="163"/>
  <c r="J92" s="1"/>
  <c r="J71"/>
  <c r="J75" s="1"/>
  <c r="AX32" i="180"/>
  <c r="N12"/>
  <c r="N11"/>
  <c r="J21" i="161"/>
  <c r="AX31" i="180"/>
  <c r="K35" i="163"/>
  <c r="L36"/>
  <c r="L72" s="1"/>
  <c r="AX42" i="180" l="1"/>
  <c r="AX43"/>
  <c r="N13"/>
  <c r="AZ13"/>
  <c r="L173" i="138"/>
  <c r="L20" i="163"/>
  <c r="L18" i="161"/>
  <c r="AZ19" i="180"/>
  <c r="L174" i="138"/>
  <c r="L23" i="163"/>
  <c r="L19" i="161"/>
  <c r="K39" i="163"/>
  <c r="K92" s="1"/>
  <c r="O54" i="180"/>
  <c r="O56" s="1"/>
  <c r="K71" i="163"/>
  <c r="K75" s="1"/>
  <c r="AX33" i="180"/>
  <c r="N14"/>
  <c r="O12"/>
  <c r="AY32"/>
  <c r="O11"/>
  <c r="O13" s="1"/>
  <c r="K21" i="161"/>
  <c r="K25" s="1"/>
  <c r="AY31" i="180"/>
  <c r="AY33"/>
  <c r="O14"/>
  <c r="AZ25"/>
  <c r="L24" i="163"/>
  <c r="L23" i="161"/>
  <c r="L175" i="138"/>
  <c r="J25" i="161"/>
  <c r="L35" i="163"/>
  <c r="M36"/>
  <c r="M72" s="1"/>
  <c r="N15" i="180" l="1"/>
  <c r="N23" s="1"/>
  <c r="BA13"/>
  <c r="M18" i="161"/>
  <c r="M20" i="163"/>
  <c r="M173" i="138"/>
  <c r="BA19" i="180"/>
  <c r="M19" i="161"/>
  <c r="M23" i="163"/>
  <c r="M174" i="138"/>
  <c r="BA25" i="180"/>
  <c r="M24" i="163"/>
  <c r="M23" i="161"/>
  <c r="M175" i="138"/>
  <c r="P54" i="180"/>
  <c r="P56" s="1"/>
  <c r="L39" i="163"/>
  <c r="L92" s="1"/>
  <c r="L71"/>
  <c r="L75" s="1"/>
  <c r="AX34" i="180"/>
  <c r="P14"/>
  <c r="AZ33"/>
  <c r="AZ32"/>
  <c r="P12"/>
  <c r="AZ31"/>
  <c r="L21" i="161"/>
  <c r="L25" s="1"/>
  <c r="P11" i="180"/>
  <c r="O15"/>
  <c r="J179" i="138"/>
  <c r="J181" s="1"/>
  <c r="J185" s="1"/>
  <c r="J29" i="161"/>
  <c r="J31" s="1"/>
  <c r="J35" s="1"/>
  <c r="K29"/>
  <c r="K31" s="1"/>
  <c r="K35" s="1"/>
  <c r="K179" i="138"/>
  <c r="K181" s="1"/>
  <c r="K185" s="1"/>
  <c r="AY34" i="180"/>
  <c r="M35" i="163"/>
  <c r="N36"/>
  <c r="N72" s="1"/>
  <c r="P13" i="180" l="1"/>
  <c r="P15" s="1"/>
  <c r="P23" s="1"/>
  <c r="N23" i="163"/>
  <c r="BB19" i="180"/>
  <c r="N174" i="138"/>
  <c r="N19" i="161"/>
  <c r="Q54" i="180"/>
  <c r="Q56" s="1"/>
  <c r="M39" i="163"/>
  <c r="M92" s="1"/>
  <c r="M71"/>
  <c r="M75" s="1"/>
  <c r="O16" i="180"/>
  <c r="K60" i="163"/>
  <c r="J190" i="138"/>
  <c r="J37" i="161"/>
  <c r="J39" s="1"/>
  <c r="O17" i="180"/>
  <c r="O19" s="1"/>
  <c r="O23"/>
  <c r="AZ34"/>
  <c r="BA33"/>
  <c r="Q14"/>
  <c r="N20" i="163"/>
  <c r="N18" i="161"/>
  <c r="BB13" i="180"/>
  <c r="N173" i="138"/>
  <c r="BB25" i="180"/>
  <c r="N23" i="161"/>
  <c r="N24" i="163"/>
  <c r="N175" i="138"/>
  <c r="L29" i="161"/>
  <c r="L179" i="138"/>
  <c r="L181" s="1"/>
  <c r="L185" s="1"/>
  <c r="K37" i="161"/>
  <c r="K39" s="1"/>
  <c r="K190" i="138"/>
  <c r="L191" s="1"/>
  <c r="L28" i="163" s="1"/>
  <c r="L64" s="1"/>
  <c r="N16" i="180"/>
  <c r="N17" s="1"/>
  <c r="N19" s="1"/>
  <c r="J60" i="163"/>
  <c r="BA32" i="180"/>
  <c r="Q12"/>
  <c r="BA31"/>
  <c r="Q11"/>
  <c r="Q13" s="1"/>
  <c r="M21" i="161"/>
  <c r="M25" s="1"/>
  <c r="N35" i="163"/>
  <c r="O36"/>
  <c r="O72" s="1"/>
  <c r="K63" i="162" l="1"/>
  <c r="K157" i="138"/>
  <c r="K164" s="1"/>
  <c r="K41" i="161"/>
  <c r="K57" i="163"/>
  <c r="J157" i="138"/>
  <c r="J63" i="162"/>
  <c r="J57" i="163"/>
  <c r="J41" i="161"/>
  <c r="BC19" i="180"/>
  <c r="O19" i="161"/>
  <c r="O23" i="163"/>
  <c r="O174" i="138"/>
  <c r="R54" i="180"/>
  <c r="R56" s="1"/>
  <c r="N39" i="163"/>
  <c r="N92" s="1"/>
  <c r="N71"/>
  <c r="N75" s="1"/>
  <c r="L190" i="138"/>
  <c r="M191" s="1"/>
  <c r="M28" i="163" s="1"/>
  <c r="M64" s="1"/>
  <c r="L37" i="161"/>
  <c r="BB33" i="180"/>
  <c r="R14"/>
  <c r="BB31"/>
  <c r="N21" i="161"/>
  <c r="N25" s="1"/>
  <c r="R11" i="180"/>
  <c r="K191" i="138"/>
  <c r="K28" i="163" s="1"/>
  <c r="K64" s="1"/>
  <c r="J192" i="138"/>
  <c r="BB32" i="180"/>
  <c r="R12"/>
  <c r="Q15"/>
  <c r="Q23" s="1"/>
  <c r="O20" i="163"/>
  <c r="O18" i="161"/>
  <c r="BC13" i="180"/>
  <c r="O173" i="138"/>
  <c r="BC25" i="180"/>
  <c r="O23" i="161"/>
  <c r="O24" i="163"/>
  <c r="O175" i="138"/>
  <c r="M179"/>
  <c r="M181" s="1"/>
  <c r="M185" s="1"/>
  <c r="M29" i="161"/>
  <c r="M31" s="1"/>
  <c r="M35" s="1"/>
  <c r="BA34" i="180"/>
  <c r="O20"/>
  <c r="O21" s="1"/>
  <c r="K58" i="163"/>
  <c r="P16" i="180"/>
  <c r="P17" s="1"/>
  <c r="P19" s="1"/>
  <c r="L60" i="163"/>
  <c r="N20" i="180"/>
  <c r="N21" s="1"/>
  <c r="J58" i="163"/>
  <c r="L31" i="161"/>
  <c r="L35" s="1"/>
  <c r="O35" i="163"/>
  <c r="P36"/>
  <c r="P72" s="1"/>
  <c r="L39" i="161" l="1"/>
  <c r="L63" i="162" s="1"/>
  <c r="P23" i="163"/>
  <c r="P19" i="161"/>
  <c r="BD32" i="180" s="1"/>
  <c r="BD19"/>
  <c r="P174" i="138"/>
  <c r="Q24" i="163"/>
  <c r="Q23" i="161"/>
  <c r="BE33" i="180" s="1"/>
  <c r="BE25"/>
  <c r="Q175" i="138"/>
  <c r="Q16" i="180"/>
  <c r="Q17" s="1"/>
  <c r="Q19" s="1"/>
  <c r="M60" i="163"/>
  <c r="BC33" i="180"/>
  <c r="S14"/>
  <c r="S11"/>
  <c r="BC31"/>
  <c r="O21" i="161"/>
  <c r="O25" s="1"/>
  <c r="J40" i="162"/>
  <c r="K189" i="138"/>
  <c r="K192" s="1"/>
  <c r="S12" i="180"/>
  <c r="BC32"/>
  <c r="J158" i="138"/>
  <c r="J164"/>
  <c r="R13" i="180"/>
  <c r="R15" s="1"/>
  <c r="R23" s="1"/>
  <c r="BD13"/>
  <c r="P20" i="163"/>
  <c r="P173" i="138"/>
  <c r="P18" i="161"/>
  <c r="BD25" i="180"/>
  <c r="P24" i="163"/>
  <c r="P175" i="138"/>
  <c r="P23" i="161"/>
  <c r="BD33" i="180" s="1"/>
  <c r="O39" i="163"/>
  <c r="O92" s="1"/>
  <c r="S54" i="180"/>
  <c r="S56" s="1"/>
  <c r="O71" i="163"/>
  <c r="O75" s="1"/>
  <c r="M190" i="138"/>
  <c r="N191" s="1"/>
  <c r="N28" i="163" s="1"/>
  <c r="N64" s="1"/>
  <c r="M37" i="161"/>
  <c r="M39" s="1"/>
  <c r="BB34" i="180"/>
  <c r="P20"/>
  <c r="P21" s="1"/>
  <c r="L58" i="163"/>
  <c r="P35"/>
  <c r="L41" i="161" l="1"/>
  <c r="L157" i="138"/>
  <c r="L164" s="1"/>
  <c r="N179"/>
  <c r="N181" s="1"/>
  <c r="N185" s="1"/>
  <c r="N37" i="161" s="1"/>
  <c r="L57" i="163"/>
  <c r="N29" i="161"/>
  <c r="N31" s="1"/>
  <c r="N35" s="1"/>
  <c r="J165" i="138"/>
  <c r="J141" s="1"/>
  <c r="J142" s="1"/>
  <c r="J47" i="163" s="1"/>
  <c r="Q23"/>
  <c r="Q19" i="161"/>
  <c r="BE32" i="180" s="1"/>
  <c r="BE19"/>
  <c r="Q174" i="138"/>
  <c r="Q20" i="180"/>
  <c r="Q21" s="1"/>
  <c r="M58" i="163"/>
  <c r="N190" i="138"/>
  <c r="O191" s="1"/>
  <c r="O28" i="163" s="1"/>
  <c r="K40" i="162"/>
  <c r="L189" i="138"/>
  <c r="L192" s="1"/>
  <c r="BC34" i="180"/>
  <c r="S13"/>
  <c r="S15" s="1"/>
  <c r="S23" s="1"/>
  <c r="P39" i="163"/>
  <c r="P92" s="1"/>
  <c r="P71"/>
  <c r="P75" s="1"/>
  <c r="BD31" i="180"/>
  <c r="P21" i="161"/>
  <c r="P25" s="1"/>
  <c r="M63" i="162"/>
  <c r="M41" i="161"/>
  <c r="M157" i="138"/>
  <c r="M164" s="1"/>
  <c r="M57" i="163"/>
  <c r="Q35"/>
  <c r="Q36"/>
  <c r="Q72" s="1"/>
  <c r="N60" l="1"/>
  <c r="R16" i="180"/>
  <c r="R17" s="1"/>
  <c r="R19" s="1"/>
  <c r="J64" i="162"/>
  <c r="J167" i="138"/>
  <c r="J143"/>
  <c r="K140" s="1"/>
  <c r="O29" i="161"/>
  <c r="O31" s="1"/>
  <c r="O35" s="1"/>
  <c r="BE13" i="180"/>
  <c r="Q173" i="138"/>
  <c r="Q20" i="163"/>
  <c r="Q18" i="161"/>
  <c r="R20" i="180"/>
  <c r="N58" i="163"/>
  <c r="Q39"/>
  <c r="Q92" s="1"/>
  <c r="Q71"/>
  <c r="Q75" s="1"/>
  <c r="J83"/>
  <c r="J84" s="1"/>
  <c r="J102"/>
  <c r="N60" i="180"/>
  <c r="N61" s="1"/>
  <c r="J48" i="163"/>
  <c r="BD34" i="180"/>
  <c r="L40" i="162"/>
  <c r="M189" i="138"/>
  <c r="M192" s="1"/>
  <c r="O64" i="163"/>
  <c r="O179" i="138"/>
  <c r="O181" s="1"/>
  <c r="O185" s="1"/>
  <c r="N39" i="161"/>
  <c r="S16" i="180" l="1"/>
  <c r="S17" s="1"/>
  <c r="S19" s="1"/>
  <c r="R21"/>
  <c r="J145" i="138"/>
  <c r="J147" s="1"/>
  <c r="J42" i="162"/>
  <c r="O60" i="163"/>
  <c r="O190" i="138"/>
  <c r="P191" s="1"/>
  <c r="P28" i="163" s="1"/>
  <c r="P64" s="1"/>
  <c r="O37" i="161"/>
  <c r="BE31" i="180"/>
  <c r="Q21" i="161"/>
  <c r="Q25" s="1"/>
  <c r="P29"/>
  <c r="N157" i="138"/>
  <c r="N63" i="162"/>
  <c r="N57" i="163"/>
  <c r="N41" i="161"/>
  <c r="N189" i="138"/>
  <c r="N192" s="1"/>
  <c r="M40" i="162"/>
  <c r="P179" i="138"/>
  <c r="P181" s="1"/>
  <c r="P185" s="1"/>
  <c r="J146" l="1"/>
  <c r="J148" s="1"/>
  <c r="N40" i="162"/>
  <c r="O189" i="138"/>
  <c r="O192" s="1"/>
  <c r="S20" i="180"/>
  <c r="S21" s="1"/>
  <c r="O58" i="163"/>
  <c r="O39" i="161"/>
  <c r="Q29"/>
  <c r="Q60" i="163" s="1"/>
  <c r="P37" i="161"/>
  <c r="P58" i="163" s="1"/>
  <c r="P190" i="138"/>
  <c r="Q191" s="1"/>
  <c r="Q28" i="163" s="1"/>
  <c r="Q64" s="1"/>
  <c r="P60"/>
  <c r="P31" i="161"/>
  <c r="P35" s="1"/>
  <c r="BE34" i="180"/>
  <c r="P39" i="161" l="1"/>
  <c r="P157" i="138" s="1"/>
  <c r="P164" s="1"/>
  <c r="Q179"/>
  <c r="Q181" s="1"/>
  <c r="Q185" s="1"/>
  <c r="Q190" s="1"/>
  <c r="Q31" i="161"/>
  <c r="Q35" s="1"/>
  <c r="P189" i="138"/>
  <c r="P192" s="1"/>
  <c r="O40" i="162"/>
  <c r="P41" i="161"/>
  <c r="O157" i="138"/>
  <c r="O164" s="1"/>
  <c r="O57" i="163"/>
  <c r="O63" i="162"/>
  <c r="O41" i="161"/>
  <c r="P57" i="163" l="1"/>
  <c r="P63" i="162"/>
  <c r="Q37" i="161"/>
  <c r="Q58" i="163" s="1"/>
  <c r="Q189" i="138"/>
  <c r="Q192" s="1"/>
  <c r="Q40" i="162" s="1"/>
  <c r="P40"/>
  <c r="Q39" i="161" l="1"/>
  <c r="Q157" i="138" s="1"/>
  <c r="Q164" s="1"/>
  <c r="Q57" i="163" l="1"/>
  <c r="Q63" i="162"/>
  <c r="Q41" i="161"/>
  <c r="I41" s="1"/>
  <c r="K25" i="135" s="1"/>
  <c r="M25" s="1"/>
  <c r="J78" i="138"/>
  <c r="K74" s="1"/>
  <c r="K78" s="1"/>
  <c r="L74" s="1"/>
  <c r="J90"/>
  <c r="K86" s="1"/>
  <c r="K90" l="1"/>
  <c r="L86" s="1"/>
  <c r="K29" i="162"/>
  <c r="K80" i="138"/>
  <c r="K81" s="1"/>
  <c r="K82" s="1"/>
  <c r="J30" i="162"/>
  <c r="J92" i="138"/>
  <c r="J93" s="1"/>
  <c r="J94" s="1"/>
  <c r="J29" i="162"/>
  <c r="J33" s="1"/>
  <c r="N31" i="180" s="1"/>
  <c r="J80" i="138"/>
  <c r="J81" s="1"/>
  <c r="J82" s="1"/>
  <c r="L78"/>
  <c r="M74" s="1"/>
  <c r="K30" i="162"/>
  <c r="L90" i="138"/>
  <c r="M86" s="1"/>
  <c r="K92" l="1"/>
  <c r="K93" s="1"/>
  <c r="K94" s="1"/>
  <c r="L30" i="162"/>
  <c r="L92" i="138"/>
  <c r="L93" s="1"/>
  <c r="L94" s="1"/>
  <c r="M90"/>
  <c r="N86" s="1"/>
  <c r="K33" i="162"/>
  <c r="O31" i="180" s="1"/>
  <c r="L29" i="162"/>
  <c r="L33" s="1"/>
  <c r="P31" i="180" s="1"/>
  <c r="L80" i="138"/>
  <c r="L81" s="1"/>
  <c r="L82" s="1"/>
  <c r="M78"/>
  <c r="N74" s="1"/>
  <c r="M29" i="162" l="1"/>
  <c r="M80" i="138"/>
  <c r="M81" s="1"/>
  <c r="M82" s="1"/>
  <c r="N78"/>
  <c r="O74" s="1"/>
  <c r="M30" i="162"/>
  <c r="M92" i="138"/>
  <c r="M93" s="1"/>
  <c r="M94" s="1"/>
  <c r="N90"/>
  <c r="O86" s="1"/>
  <c r="J45"/>
  <c r="J35"/>
  <c r="J23" i="162"/>
  <c r="K56" i="138" l="1"/>
  <c r="K39" i="162"/>
  <c r="L52" i="138"/>
  <c r="L61" s="1"/>
  <c r="L39" i="162"/>
  <c r="L56" i="138"/>
  <c r="J44"/>
  <c r="J36"/>
  <c r="N29" i="162"/>
  <c r="N80" i="138"/>
  <c r="N81" s="1"/>
  <c r="N82" s="1"/>
  <c r="O78"/>
  <c r="P74" s="1"/>
  <c r="M33" i="162"/>
  <c r="Q31" i="180" s="1"/>
  <c r="J39" i="162"/>
  <c r="J44" s="1"/>
  <c r="J52" i="138"/>
  <c r="J61" s="1"/>
  <c r="N30" i="162"/>
  <c r="N92" i="138"/>
  <c r="N93" s="1"/>
  <c r="N94" s="1"/>
  <c r="O90"/>
  <c r="P86" s="1"/>
  <c r="N33" i="162" l="1"/>
  <c r="R31" i="180" s="1"/>
  <c r="O30" i="162"/>
  <c r="O92" i="138"/>
  <c r="O93" s="1"/>
  <c r="O94" s="1"/>
  <c r="P90"/>
  <c r="Q86" s="1"/>
  <c r="J53"/>
  <c r="J59" s="1"/>
  <c r="J60" s="1"/>
  <c r="M45"/>
  <c r="M23" i="162"/>
  <c r="M39" i="138"/>
  <c r="J21" i="163"/>
  <c r="J42" i="138"/>
  <c r="J43" s="1"/>
  <c r="J46" s="1"/>
  <c r="L53"/>
  <c r="J53" i="162"/>
  <c r="N34" i="180"/>
  <c r="N36" s="1"/>
  <c r="AY54" s="1"/>
  <c r="L45" i="138"/>
  <c r="L23" i="162"/>
  <c r="L39" i="138"/>
  <c r="M35"/>
  <c r="K39"/>
  <c r="K23" i="162"/>
  <c r="K35" i="138"/>
  <c r="K45"/>
  <c r="O29" i="162"/>
  <c r="O80" i="138"/>
  <c r="O81" s="1"/>
  <c r="O82" s="1"/>
  <c r="P78"/>
  <c r="Q74" s="1"/>
  <c r="M56"/>
  <c r="M39" i="162"/>
  <c r="M52" i="138"/>
  <c r="M61" s="1"/>
  <c r="K52"/>
  <c r="K61" s="1"/>
  <c r="L25" i="163" l="1"/>
  <c r="L62" s="1"/>
  <c r="L59" i="138"/>
  <c r="L60" s="1"/>
  <c r="O33" i="162"/>
  <c r="S31" i="180" s="1"/>
  <c r="M44" i="138"/>
  <c r="M36"/>
  <c r="M21" i="163" s="1"/>
  <c r="K44" i="138"/>
  <c r="K36"/>
  <c r="J61" i="163"/>
  <c r="J22"/>
  <c r="J25"/>
  <c r="J63" i="138"/>
  <c r="P30" i="162"/>
  <c r="P92" i="138"/>
  <c r="P93" s="1"/>
  <c r="P94" s="1"/>
  <c r="Q90"/>
  <c r="N39"/>
  <c r="N45"/>
  <c r="N35"/>
  <c r="N23" i="162"/>
  <c r="L35" i="138"/>
  <c r="L63"/>
  <c r="K53"/>
  <c r="K59" s="1"/>
  <c r="K60" s="1"/>
  <c r="M53"/>
  <c r="M59" s="1"/>
  <c r="M60" s="1"/>
  <c r="P29" i="162"/>
  <c r="P80" i="138"/>
  <c r="P81" s="1"/>
  <c r="P82" s="1"/>
  <c r="Q78"/>
  <c r="N39" i="162"/>
  <c r="N56" i="138"/>
  <c r="N52"/>
  <c r="N61" s="1"/>
  <c r="L26" i="163"/>
  <c r="P50" i="180" s="1"/>
  <c r="P33" i="162" l="1"/>
  <c r="M42" i="138"/>
  <c r="M43" s="1"/>
  <c r="M46" s="1"/>
  <c r="M25" i="163"/>
  <c r="K25"/>
  <c r="K63" i="138"/>
  <c r="Q92"/>
  <c r="Q93" s="1"/>
  <c r="Q94" s="1"/>
  <c r="I94" s="1"/>
  <c r="K23" i="135" s="1"/>
  <c r="M23" s="1"/>
  <c r="Q30" i="162"/>
  <c r="J62" i="163"/>
  <c r="J67" s="1"/>
  <c r="J86" s="1"/>
  <c r="J106" s="1"/>
  <c r="J108" s="1"/>
  <c r="J26"/>
  <c r="N50" i="180" s="1"/>
  <c r="O56" i="138"/>
  <c r="O39" i="162"/>
  <c r="O52" i="138"/>
  <c r="O61" s="1"/>
  <c r="O23" i="162"/>
  <c r="O39" i="138"/>
  <c r="O45"/>
  <c r="O35"/>
  <c r="N53"/>
  <c r="N59" s="1"/>
  <c r="N60" s="1"/>
  <c r="Q80"/>
  <c r="Q81" s="1"/>
  <c r="Q82" s="1"/>
  <c r="I82" s="1"/>
  <c r="K22" i="135" s="1"/>
  <c r="M22" s="1"/>
  <c r="Q29" i="162"/>
  <c r="Q33" s="1"/>
  <c r="L44" i="138"/>
  <c r="L36"/>
  <c r="N44"/>
  <c r="N36"/>
  <c r="N49" i="180"/>
  <c r="J31" i="163"/>
  <c r="K21"/>
  <c r="K42" i="138"/>
  <c r="K43" s="1"/>
  <c r="K46" s="1"/>
  <c r="M61" i="163"/>
  <c r="M22"/>
  <c r="K61" l="1"/>
  <c r="K22"/>
  <c r="Q49" i="180"/>
  <c r="J91" i="163"/>
  <c r="J94" s="1"/>
  <c r="J98" s="1"/>
  <c r="J101" s="1"/>
  <c r="N52" i="180"/>
  <c r="J50" i="163"/>
  <c r="J21" i="162" s="1"/>
  <c r="J22" s="1"/>
  <c r="N21" i="163"/>
  <c r="N42" i="138"/>
  <c r="N43" s="1"/>
  <c r="N46" s="1"/>
  <c r="L21" i="163"/>
  <c r="L42" i="138"/>
  <c r="L43" s="1"/>
  <c r="L46" s="1"/>
  <c r="N25" i="163"/>
  <c r="N63" i="138"/>
  <c r="O44"/>
  <c r="O36"/>
  <c r="K62" i="163"/>
  <c r="K26"/>
  <c r="O50" i="180" s="1"/>
  <c r="M26" i="163"/>
  <c r="Q50" i="180" s="1"/>
  <c r="M62" i="163"/>
  <c r="M67" s="1"/>
  <c r="P52" i="138"/>
  <c r="P61" s="1"/>
  <c r="P56"/>
  <c r="P39" i="162"/>
  <c r="P45" i="138"/>
  <c r="P39"/>
  <c r="P23" i="162"/>
  <c r="P35" i="138"/>
  <c r="O53"/>
  <c r="O59" s="1"/>
  <c r="O60" s="1"/>
  <c r="M63"/>
  <c r="J105" i="163" l="1"/>
  <c r="J107" s="1"/>
  <c r="Q39" i="162"/>
  <c r="Q52" i="138"/>
  <c r="Q61" s="1"/>
  <c r="Q56"/>
  <c r="O21" i="163"/>
  <c r="O42" i="138"/>
  <c r="O43" s="1"/>
  <c r="O46" s="1"/>
  <c r="O25" i="163"/>
  <c r="O63" i="138"/>
  <c r="P44"/>
  <c r="P36"/>
  <c r="P53"/>
  <c r="P59" s="1"/>
  <c r="P60" s="1"/>
  <c r="N26" i="163"/>
  <c r="R50" i="180" s="1"/>
  <c r="N62" i="163"/>
  <c r="L61"/>
  <c r="L67" s="1"/>
  <c r="L22"/>
  <c r="N22"/>
  <c r="N61"/>
  <c r="J73" i="162"/>
  <c r="J25"/>
  <c r="K20"/>
  <c r="K159" i="138" s="1"/>
  <c r="J160"/>
  <c r="J161" s="1"/>
  <c r="J103" i="163"/>
  <c r="Q45" i="138"/>
  <c r="Q35"/>
  <c r="Q23" i="162"/>
  <c r="Q39" i="138"/>
  <c r="M31" i="163"/>
  <c r="K67"/>
  <c r="J109"/>
  <c r="N51" i="180"/>
  <c r="N63"/>
  <c r="O49"/>
  <c r="K31" i="163"/>
  <c r="J110" l="1"/>
  <c r="J111" s="1"/>
  <c r="O52" i="180"/>
  <c r="O51" s="1"/>
  <c r="K91" i="163"/>
  <c r="K94" s="1"/>
  <c r="K98" s="1"/>
  <c r="K101" s="1"/>
  <c r="K160" i="138" s="1"/>
  <c r="K161" s="1"/>
  <c r="N30" i="180"/>
  <c r="N32" s="1"/>
  <c r="J35" i="162"/>
  <c r="J55" s="1"/>
  <c r="J62" s="1"/>
  <c r="J65" s="1"/>
  <c r="P49" i="180"/>
  <c r="L31" i="163"/>
  <c r="P25"/>
  <c r="P63" i="138"/>
  <c r="P21" i="163"/>
  <c r="P42" i="138"/>
  <c r="P43" s="1"/>
  <c r="P46" s="1"/>
  <c r="Q53"/>
  <c r="Q59" s="1"/>
  <c r="Q60" s="1"/>
  <c r="N67" i="163"/>
  <c r="Q52" i="180"/>
  <c r="Q51" s="1"/>
  <c r="M91" i="163"/>
  <c r="M94" s="1"/>
  <c r="M98" s="1"/>
  <c r="M101" s="1"/>
  <c r="M160" i="138" s="1"/>
  <c r="Q44"/>
  <c r="Q36"/>
  <c r="R49" i="180"/>
  <c r="N31" i="163"/>
  <c r="O62"/>
  <c r="O26"/>
  <c r="S50" i="180" s="1"/>
  <c r="O22" i="163"/>
  <c r="O61"/>
  <c r="N38" i="180" l="1"/>
  <c r="AX53"/>
  <c r="R52"/>
  <c r="R51" s="1"/>
  <c r="N91" i="163"/>
  <c r="N94" s="1"/>
  <c r="N98" s="1"/>
  <c r="N101" s="1"/>
  <c r="N160" i="138" s="1"/>
  <c r="Q21" i="163"/>
  <c r="Q42" i="138"/>
  <c r="Q43" s="1"/>
  <c r="Q46" s="1"/>
  <c r="I46" s="1"/>
  <c r="K20" i="135" s="1"/>
  <c r="M20" s="1"/>
  <c r="Q25" i="163"/>
  <c r="Q63" i="138"/>
  <c r="I63" s="1"/>
  <c r="K21" i="135" s="1"/>
  <c r="M21" s="1"/>
  <c r="L91" i="163"/>
  <c r="L94" s="1"/>
  <c r="L98" s="1"/>
  <c r="L101" s="1"/>
  <c r="L160" i="138" s="1"/>
  <c r="P52" i="180"/>
  <c r="P51" s="1"/>
  <c r="N41"/>
  <c r="N42" s="1"/>
  <c r="K61" i="162"/>
  <c r="K156" i="138" s="1"/>
  <c r="K158" s="1"/>
  <c r="K165" s="1"/>
  <c r="J67" i="162"/>
  <c r="J69" s="1"/>
  <c r="J70" s="1"/>
  <c r="J71" s="1"/>
  <c r="O67" i="163"/>
  <c r="S49" i="180"/>
  <c r="O31" i="163"/>
  <c r="P61"/>
  <c r="P22"/>
  <c r="P26"/>
  <c r="P62"/>
  <c r="P31" l="1"/>
  <c r="P91" s="1"/>
  <c r="P94" s="1"/>
  <c r="P98" s="1"/>
  <c r="P101" s="1"/>
  <c r="P160" i="138" s="1"/>
  <c r="S52" i="180"/>
  <c r="S51" s="1"/>
  <c r="O91" i="163"/>
  <c r="O94" s="1"/>
  <c r="O98" s="1"/>
  <c r="O101" s="1"/>
  <c r="O160" i="138" s="1"/>
  <c r="Q62" i="163"/>
  <c r="Q26"/>
  <c r="Q22"/>
  <c r="Q61"/>
  <c r="P67"/>
  <c r="K141" i="138"/>
  <c r="K167"/>
  <c r="Q67" i="163" l="1"/>
  <c r="K64" i="162"/>
  <c r="K65" s="1"/>
  <c r="K142" i="138"/>
  <c r="K47" i="163" s="1"/>
  <c r="Q31"/>
  <c r="K143" i="138" l="1"/>
  <c r="K145" s="1"/>
  <c r="K146" s="1"/>
  <c r="Q91" i="163"/>
  <c r="Q94" s="1"/>
  <c r="Q98" s="1"/>
  <c r="Q101" s="1"/>
  <c r="Q160" i="138" s="1"/>
  <c r="K42" i="162"/>
  <c r="K44" s="1"/>
  <c r="K67"/>
  <c r="L61"/>
  <c r="L156" i="138" s="1"/>
  <c r="L158" s="1"/>
  <c r="O41" i="180"/>
  <c r="O42" s="1"/>
  <c r="K147" i="138"/>
  <c r="O60" i="180"/>
  <c r="O61" s="1"/>
  <c r="O63" s="1"/>
  <c r="K102" i="163"/>
  <c r="K103" s="1"/>
  <c r="K48"/>
  <c r="K83"/>
  <c r="K84" s="1"/>
  <c r="K86" s="1"/>
  <c r="K106" s="1"/>
  <c r="K108" s="1"/>
  <c r="K148" i="138" l="1"/>
  <c r="L140"/>
  <c r="K50" i="163"/>
  <c r="K21" i="162" s="1"/>
  <c r="K22" s="1"/>
  <c r="O34" i="180"/>
  <c r="O36" s="1"/>
  <c r="BA54" s="1"/>
  <c r="K53" i="162"/>
  <c r="K105" i="163" l="1"/>
  <c r="K109" s="1"/>
  <c r="K25" i="162"/>
  <c r="L20"/>
  <c r="L159" i="138" s="1"/>
  <c r="L161" s="1"/>
  <c r="L165" s="1"/>
  <c r="K73" i="162"/>
  <c r="K107" i="163"/>
  <c r="K110" l="1"/>
  <c r="K111" s="1"/>
  <c r="L141" i="138"/>
  <c r="L167"/>
  <c r="K35" i="162"/>
  <c r="K55" s="1"/>
  <c r="K69" s="1"/>
  <c r="K70" s="1"/>
  <c r="K71" s="1"/>
  <c r="O30" i="180"/>
  <c r="O32" s="1"/>
  <c r="O38" l="1"/>
  <c r="L64" i="162"/>
  <c r="L65" s="1"/>
  <c r="L142" i="138"/>
  <c r="L47" i="163" s="1"/>
  <c r="L83" l="1"/>
  <c r="L84" s="1"/>
  <c r="L86" s="1"/>
  <c r="L106" s="1"/>
  <c r="L108" s="1"/>
  <c r="L102"/>
  <c r="L103" s="1"/>
  <c r="P60" i="180"/>
  <c r="P61" s="1"/>
  <c r="P63" s="1"/>
  <c r="L48" i="163"/>
  <c r="AX55" i="180"/>
  <c r="BA55"/>
  <c r="BB55" s="1"/>
  <c r="BA53"/>
  <c r="L67" i="162"/>
  <c r="P41" i="180"/>
  <c r="P42" s="1"/>
  <c r="M61" i="162"/>
  <c r="M156" i="138" s="1"/>
  <c r="M158" s="1"/>
  <c r="L143"/>
  <c r="L42" i="162" l="1"/>
  <c r="L44" s="1"/>
  <c r="M140" i="138"/>
  <c r="L145"/>
  <c r="BB53" i="180"/>
  <c r="AZ54"/>
  <c r="BB54" s="1"/>
  <c r="L50" i="163"/>
  <c r="L21" i="162" s="1"/>
  <c r="L22" s="1"/>
  <c r="L147" i="138" l="1"/>
  <c r="L146"/>
  <c r="P34" i="180"/>
  <c r="P36" s="1"/>
  <c r="L53" i="162"/>
  <c r="L73"/>
  <c r="M20"/>
  <c r="M159" i="138" s="1"/>
  <c r="M161" s="1"/>
  <c r="M165" s="1"/>
  <c r="L25" i="162"/>
  <c r="L105" i="163"/>
  <c r="L148" i="138" l="1"/>
  <c r="M167"/>
  <c r="M141"/>
  <c r="L107" i="163"/>
  <c r="L109"/>
  <c r="L110"/>
  <c r="P30" i="180"/>
  <c r="P32" s="1"/>
  <c r="P38" s="1"/>
  <c r="L35" i="162"/>
  <c r="L55" s="1"/>
  <c r="L69" s="1"/>
  <c r="L70" s="1"/>
  <c r="L71" s="1"/>
  <c r="L111" i="163" l="1"/>
  <c r="M64" i="162"/>
  <c r="M65" s="1"/>
  <c r="M142" i="138"/>
  <c r="M47" i="163" s="1"/>
  <c r="M143" i="138" l="1"/>
  <c r="M145" s="1"/>
  <c r="M146" s="1"/>
  <c r="Q41" i="180"/>
  <c r="Q42" s="1"/>
  <c r="M67" i="162"/>
  <c r="N61"/>
  <c r="N156" i="138" s="1"/>
  <c r="N158" s="1"/>
  <c r="N164" s="1"/>
  <c r="Q60" i="180"/>
  <c r="Q61" s="1"/>
  <c r="Q63" s="1"/>
  <c r="M48" i="163"/>
  <c r="M102"/>
  <c r="M103" s="1"/>
  <c r="M83"/>
  <c r="M84" s="1"/>
  <c r="M86" s="1"/>
  <c r="M106" s="1"/>
  <c r="M108" s="1"/>
  <c r="M42" i="162" l="1"/>
  <c r="M44" s="1"/>
  <c r="M53" s="1"/>
  <c r="N140" i="138"/>
  <c r="M147"/>
  <c r="M148" s="1"/>
  <c r="M50" i="163"/>
  <c r="M21" i="162" s="1"/>
  <c r="M22" s="1"/>
  <c r="Q34" i="180"/>
  <c r="Q36" s="1"/>
  <c r="M105" i="163" l="1"/>
  <c r="M109" s="1"/>
  <c r="M73" i="162"/>
  <c r="M25"/>
  <c r="N20"/>
  <c r="N159" i="138" s="1"/>
  <c r="N161" s="1"/>
  <c r="N165" s="1"/>
  <c r="M107" i="163" l="1"/>
  <c r="M110"/>
  <c r="M35" i="162"/>
  <c r="M55" s="1"/>
  <c r="M69" s="1"/>
  <c r="M70" s="1"/>
  <c r="M71" s="1"/>
  <c r="Q30" i="180"/>
  <c r="Q32" s="1"/>
  <c r="Q38" s="1"/>
  <c r="N141" i="138"/>
  <c r="N167"/>
  <c r="M111" i="163" l="1"/>
  <c r="N64" i="162"/>
  <c r="N65" s="1"/>
  <c r="N142" i="138"/>
  <c r="N47" i="163" s="1"/>
  <c r="N102" l="1"/>
  <c r="N103" s="1"/>
  <c r="N48"/>
  <c r="R60" i="180"/>
  <c r="R61" s="1"/>
  <c r="R63" s="1"/>
  <c r="N83" i="163"/>
  <c r="N84" s="1"/>
  <c r="N86" s="1"/>
  <c r="N106" s="1"/>
  <c r="N108" s="1"/>
  <c r="O61" i="162"/>
  <c r="O156" i="138" s="1"/>
  <c r="O158" s="1"/>
  <c r="R41" i="180"/>
  <c r="R42" s="1"/>
  <c r="N67" i="162"/>
  <c r="N143" i="138"/>
  <c r="N145" l="1"/>
  <c r="O140"/>
  <c r="N42" i="162"/>
  <c r="N44" s="1"/>
  <c r="N50" i="163"/>
  <c r="N21" i="162" s="1"/>
  <c r="N22" s="1"/>
  <c r="N105" i="163" l="1"/>
  <c r="N107" s="1"/>
  <c r="N25" i="162"/>
  <c r="O20"/>
  <c r="O159" i="138" s="1"/>
  <c r="O161" s="1"/>
  <c r="O165" s="1"/>
  <c r="N73" i="162"/>
  <c r="N53"/>
  <c r="R34" i="180"/>
  <c r="R36" s="1"/>
  <c r="N147" i="138"/>
  <c r="N146"/>
  <c r="N109" i="163" l="1"/>
  <c r="N110"/>
  <c r="N35" i="162"/>
  <c r="N55" s="1"/>
  <c r="N69" s="1"/>
  <c r="N70" s="1"/>
  <c r="N71" s="1"/>
  <c r="R30" i="180"/>
  <c r="R32" s="1"/>
  <c r="R38" s="1"/>
  <c r="N148" i="138"/>
  <c r="O141"/>
  <c r="O167"/>
  <c r="N111" i="163" l="1"/>
  <c r="O64" i="162"/>
  <c r="O65" s="1"/>
  <c r="O142" i="138"/>
  <c r="O47" i="163" s="1"/>
  <c r="O102" l="1"/>
  <c r="O103" s="1"/>
  <c r="O83"/>
  <c r="O84" s="1"/>
  <c r="O86" s="1"/>
  <c r="O106" s="1"/>
  <c r="O108" s="1"/>
  <c r="S60" i="180"/>
  <c r="S61" s="1"/>
  <c r="S63" s="1"/>
  <c r="O48" i="163"/>
  <c r="O67" i="162"/>
  <c r="S41" i="180"/>
  <c r="S42" s="1"/>
  <c r="P61" i="162"/>
  <c r="P156" i="138" s="1"/>
  <c r="P158" s="1"/>
  <c r="O143"/>
  <c r="O42" i="162" l="1"/>
  <c r="O44" s="1"/>
  <c r="P140" i="138"/>
  <c r="O145"/>
  <c r="O50" i="163"/>
  <c r="O21" i="162" s="1"/>
  <c r="O22" s="1"/>
  <c r="O25" l="1"/>
  <c r="P20"/>
  <c r="P159" i="138" s="1"/>
  <c r="P161" s="1"/>
  <c r="P165" s="1"/>
  <c r="O73" i="162"/>
  <c r="O146" i="138"/>
  <c r="O147"/>
  <c r="O53" i="162"/>
  <c r="S34" i="180"/>
  <c r="S36" s="1"/>
  <c r="O105" i="163"/>
  <c r="O148" i="138" l="1"/>
  <c r="P141"/>
  <c r="P167"/>
  <c r="O110" i="163"/>
  <c r="O107"/>
  <c r="O109"/>
  <c r="O35" i="162"/>
  <c r="O55" s="1"/>
  <c r="O69" s="1"/>
  <c r="O70" s="1"/>
  <c r="O71" s="1"/>
  <c r="S30" i="180"/>
  <c r="S32" s="1"/>
  <c r="S38" s="1"/>
  <c r="O111" i="163" l="1"/>
  <c r="P64" i="162"/>
  <c r="P65" s="1"/>
  <c r="P142" i="138"/>
  <c r="P47" i="163" s="1"/>
  <c r="P102" l="1"/>
  <c r="P103" s="1"/>
  <c r="P48"/>
  <c r="P83"/>
  <c r="P84" s="1"/>
  <c r="P86" s="1"/>
  <c r="P106" s="1"/>
  <c r="P108" s="1"/>
  <c r="P67" i="162"/>
  <c r="Q61"/>
  <c r="Q156" i="138" s="1"/>
  <c r="Q158" s="1"/>
  <c r="P143"/>
  <c r="P42" i="162" l="1"/>
  <c r="P44" s="1"/>
  <c r="P53" s="1"/>
  <c r="Q140" i="138"/>
  <c r="P145"/>
  <c r="P50" i="163"/>
  <c r="P21" i="162" s="1"/>
  <c r="P22" s="1"/>
  <c r="Q20" l="1"/>
  <c r="Q159" i="138" s="1"/>
  <c r="Q161" s="1"/>
  <c r="Q165" s="1"/>
  <c r="P25" i="162"/>
  <c r="P35" s="1"/>
  <c r="P55" s="1"/>
  <c r="P69" s="1"/>
  <c r="P70" s="1"/>
  <c r="P71" s="1"/>
  <c r="P73"/>
  <c r="P147" i="138"/>
  <c r="P146"/>
  <c r="P105" i="163"/>
  <c r="P148" i="138" l="1"/>
  <c r="P109" i="163"/>
  <c r="P107"/>
  <c r="P110"/>
  <c r="Q167" i="138"/>
  <c r="I167" s="1"/>
  <c r="K61" i="135" s="1"/>
  <c r="M61" s="1"/>
  <c r="Q141" i="138"/>
  <c r="Q64" i="162" l="1"/>
  <c r="Q65" s="1"/>
  <c r="Q67" s="1"/>
  <c r="Q142" i="138"/>
  <c r="Q47" i="163" s="1"/>
  <c r="P111"/>
  <c r="Q143" i="138" l="1"/>
  <c r="Q42" i="162" s="1"/>
  <c r="Q44" s="1"/>
  <c r="Q53" s="1"/>
  <c r="Q83" i="163"/>
  <c r="Q84" s="1"/>
  <c r="Q86" s="1"/>
  <c r="Q106" s="1"/>
  <c r="Q108" s="1"/>
  <c r="Q48"/>
  <c r="Q102"/>
  <c r="Q103" s="1"/>
  <c r="Q145" i="138" l="1"/>
  <c r="Q147" s="1"/>
  <c r="Q50" i="163"/>
  <c r="Q21" i="162" s="1"/>
  <c r="Q22" s="1"/>
  <c r="Q146" i="138" l="1"/>
  <c r="Q148" s="1"/>
  <c r="I148" s="1"/>
  <c r="K24" i="135" s="1"/>
  <c r="M24" s="1"/>
  <c r="Q105" i="163"/>
  <c r="Q110" s="1"/>
  <c r="Q73" i="162"/>
  <c r="I73" s="1"/>
  <c r="Q25"/>
  <c r="Q35" s="1"/>
  <c r="Q55" s="1"/>
  <c r="Q69" s="1"/>
  <c r="Q70" s="1"/>
  <c r="Q71" s="1"/>
  <c r="I71" s="1"/>
  <c r="K26" i="135" s="1"/>
  <c r="M26" s="1"/>
  <c r="Q109" i="163" l="1"/>
  <c r="Q107"/>
  <c r="K62" i="135"/>
  <c r="M62" s="1"/>
  <c r="M64" s="1"/>
  <c r="Q111" i="163" l="1"/>
  <c r="I111" s="1"/>
  <c r="K27" i="135" s="1"/>
  <c r="M27" s="1"/>
  <c r="M29" s="1"/>
  <c r="I13" s="1"/>
  <c r="I54"/>
  <c r="I55"/>
  <c r="I14" l="1"/>
  <c r="C10" i="177"/>
  <c r="B2" i="191" s="1"/>
  <c r="C11" i="124" l="1"/>
  <c r="C11" i="189"/>
  <c r="B2" i="174"/>
  <c r="C11" i="183"/>
  <c r="C11" i="137"/>
  <c r="B2" i="130"/>
  <c r="B2" i="176"/>
  <c r="C11" i="186"/>
  <c r="B2" i="163"/>
  <c r="C11" i="187"/>
  <c r="B2" i="162"/>
  <c r="B2" i="182"/>
  <c r="C11" i="132"/>
  <c r="C11" i="134"/>
  <c r="B2" i="161"/>
  <c r="C11" i="169"/>
  <c r="B2" i="180"/>
  <c r="C11" i="123"/>
  <c r="B2" i="131"/>
  <c r="C11" i="168"/>
  <c r="C11" i="188"/>
  <c r="C11" i="184"/>
  <c r="B2" i="133"/>
  <c r="B2" i="138"/>
  <c r="B2" i="135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1" authorId="0">
      <text>
        <r>
          <rPr>
            <b/>
            <sz val="9"/>
            <color indexed="81"/>
            <rFont val="Tahoma"/>
            <family val="2"/>
          </rPr>
          <t xml:space="preserve">Debtors/Creditors Days
</t>
        </r>
        <r>
          <rPr>
            <sz val="9"/>
            <color indexed="81"/>
            <rFont val="Tahoma"/>
            <family val="2"/>
          </rPr>
          <t>Error if debtors days or creditors days assumptions exceed the number of days in the period.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  <author>Michael Hutchens</author>
  </authors>
  <commentList>
    <comment ref="I46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8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94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148" authorId="1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167" authorId="1">
      <text>
        <r>
          <rPr>
            <b/>
            <sz val="9"/>
            <color indexed="81"/>
            <rFont val="Tahoma"/>
            <family val="2"/>
          </rPr>
          <t xml:space="preserve">Alert Check
</t>
        </r>
        <r>
          <rPr>
            <sz val="9"/>
            <color indexed="81"/>
            <rFont val="Tahoma"/>
            <family val="2"/>
          </rPr>
          <t>Flags the occurrence of designated events.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C25" authorId="0">
      <text>
        <r>
          <rPr>
            <sz val="8"/>
            <color indexed="81"/>
            <rFont val="Tahoma"/>
            <family val="2"/>
          </rPr>
          <t>EBITDA = Earnings Before Interest, Tax, Depreciation &amp; Amortisation</t>
        </r>
      </text>
    </comment>
    <comment ref="C31" authorId="0">
      <text>
        <r>
          <rPr>
            <sz val="8"/>
            <color indexed="81"/>
            <rFont val="Tahoma"/>
            <family val="2"/>
          </rPr>
          <t>EBIT = Earnings Before Interest &amp; Tax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5.xml><?xml version="1.0" encoding="utf-8"?>
<comments xmlns="http://schemas.openxmlformats.org/spreadsheetml/2006/main">
  <authors>
    <author>Michael Hutchens</author>
  </authors>
  <commentList>
    <comment ref="I7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 xml:space="preserve">Alert Check
</t>
        </r>
        <r>
          <rPr>
            <sz val="9"/>
            <color indexed="81"/>
            <rFont val="Tahoma"/>
            <family val="2"/>
          </rPr>
          <t>Flags the occurrence of designated events.</t>
        </r>
      </text>
    </comment>
  </commentList>
</comments>
</file>

<file path=xl/comments6.xml><?xml version="1.0" encoding="utf-8"?>
<comments xmlns="http://schemas.openxmlformats.org/spreadsheetml/2006/main">
  <authors>
    <author>Michael Hutchens</author>
  </authors>
  <commentList>
    <comment ref="B89" authorId="0">
      <text>
        <r>
          <rPr>
            <sz val="8"/>
            <color indexed="81"/>
            <rFont val="Tahoma"/>
            <family val="2"/>
          </rPr>
          <t>Reconciliation used for valuation purposes and to determine dividends payable.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<sst xmlns="http://schemas.openxmlformats.org/spreadsheetml/2006/main" count="748" uniqueCount="422">
  <si>
    <t>Balance Sheet</t>
  </si>
  <si>
    <t>Opening Tax Payable</t>
  </si>
  <si>
    <t>Taxation Rate</t>
  </si>
  <si>
    <t>Corporate Taxation Rate</t>
  </si>
  <si>
    <t>Deferred Tax Assets</t>
  </si>
  <si>
    <t>Deferred Tax Liabilities</t>
  </si>
  <si>
    <t>Net Profit Before Tax (NPBT)</t>
  </si>
  <si>
    <t>Accounting Taxable Profit / (Loss)</t>
  </si>
  <si>
    <t>Tax Expense / (Benefit)</t>
  </si>
  <si>
    <t>Tax Payable</t>
  </si>
  <si>
    <t>Value</t>
  </si>
  <si>
    <t>EBITDA</t>
  </si>
  <si>
    <t>EBIT</t>
  </si>
  <si>
    <t>Net Profit Before Tax</t>
  </si>
  <si>
    <t>Net Profit After Tax</t>
  </si>
  <si>
    <t>Revenues and expenses enter the Income Statement as positive and negative numbers respectively.</t>
  </si>
  <si>
    <t>Cash Flow from Operating Activities</t>
  </si>
  <si>
    <t>Cash Flow from Investing Activities</t>
  </si>
  <si>
    <t>Cash Flow from Financing Activities</t>
  </si>
  <si>
    <t>Net Increase / (Decrease) in Cash Held</t>
  </si>
  <si>
    <t>(Add Back) Tax Expense</t>
  </si>
  <si>
    <t>(Add Back) Total Debt Interest Expense</t>
  </si>
  <si>
    <t>(Add Back) Total Book Depreciation &amp; Amortisation</t>
  </si>
  <si>
    <t>Cash Flow Available To Capital Providers</t>
  </si>
  <si>
    <t>Cash Flow Available to Equity (CFAE)</t>
  </si>
  <si>
    <t>Error Values Detected - Direct Method</t>
  </si>
  <si>
    <t>Cash Flow Summation Check - Direct Method</t>
  </si>
  <si>
    <t>Error Values Detected - Indirect Method</t>
  </si>
  <si>
    <t>Cash Flow Summation Check - Indirect Method</t>
  </si>
  <si>
    <t>Direct vs. Indirect Reconciliation Check</t>
  </si>
  <si>
    <t>CFAE Reconciliation Consistency</t>
  </si>
  <si>
    <t>Current Assets</t>
  </si>
  <si>
    <t>Non-Current Assets</t>
  </si>
  <si>
    <t>Total Assets</t>
  </si>
  <si>
    <t>Current Liabilities</t>
  </si>
  <si>
    <t>Ordinary Equity Dividends Payable</t>
  </si>
  <si>
    <t>Non-Current Liabilities</t>
  </si>
  <si>
    <t>Total Liabilities</t>
  </si>
  <si>
    <t>Net Assets</t>
  </si>
  <si>
    <t>Equity</t>
  </si>
  <si>
    <t>Retained Profits</t>
  </si>
  <si>
    <t>Total Equity</t>
  </si>
  <si>
    <t>Opening Cash</t>
  </si>
  <si>
    <t>Net Change in Cash Held</t>
  </si>
  <si>
    <t>Net Profit During Period</t>
  </si>
  <si>
    <t>Ordinary Equity Dividends Declared</t>
  </si>
  <si>
    <t>Cash Flow Statement</t>
  </si>
  <si>
    <t>Income Statement</t>
  </si>
  <si>
    <t>Go to Table of Contents</t>
  </si>
  <si>
    <t>Table of Contents</t>
  </si>
  <si>
    <t>Go to Cover Sheet</t>
  </si>
  <si>
    <t>é</t>
  </si>
  <si>
    <t>Section &amp; Sheet Titles</t>
  </si>
  <si>
    <t>ç</t>
  </si>
  <si>
    <t>Names: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</si>
  <si>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</si>
  <si>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</si>
  <si>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</si>
  <si>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</si>
  <si>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</si>
  <si>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</si>
  <si>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</si>
  <si>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</si>
  <si>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</si>
  <si>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</si>
  <si>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</si>
  <si>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</si>
  <si>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</si>
  <si>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</t>
  </si>
  <si>
    <t>Half Year</t>
  </si>
  <si>
    <t>Annual</t>
  </si>
  <si>
    <t>Semi-Annual</t>
  </si>
  <si>
    <t>Quarterly</t>
  </si>
  <si>
    <t>Qtrly</t>
  </si>
  <si>
    <t>Monthly</t>
  </si>
  <si>
    <t>Mthly</t>
  </si>
  <si>
    <t>Year</t>
  </si>
  <si>
    <t>Yr_Name</t>
  </si>
  <si>
    <t>Half_Yr_Name</t>
  </si>
  <si>
    <t>Qtr_Name</t>
  </si>
  <si>
    <t>Mth_Name</t>
  </si>
  <si>
    <t>LU_Pers_In_Yr</t>
  </si>
  <si>
    <t>Yrs_In_Yr</t>
  </si>
  <si>
    <t>Halves_In_Yr</t>
  </si>
  <si>
    <t>Qtrs_In_Yr</t>
  </si>
  <si>
    <t>Mths_In_Yr</t>
  </si>
  <si>
    <t>Yes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</si>
  <si>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</si>
  <si>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</si>
  <si>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</si>
  <si>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</si>
  <si>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</si>
  <si>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</si>
  <si>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</si>
  <si>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</si>
  <si>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</si>
  <si>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</si>
  <si>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Ten</t>
  </si>
  <si>
    <t>Hundred</t>
  </si>
  <si>
    <t>Thousand</t>
  </si>
  <si>
    <t>Million</t>
  </si>
  <si>
    <t>Billion</t>
  </si>
  <si>
    <t>è</t>
  </si>
  <si>
    <t>First Period End Date</t>
  </si>
  <si>
    <t>Primary</t>
  </si>
  <si>
    <t>Appendices</t>
  </si>
  <si>
    <t>Checks</t>
  </si>
  <si>
    <t>Lookup Tables</t>
  </si>
  <si>
    <t>Section 1.</t>
  </si>
  <si>
    <t>Sub-Section 1.1.</t>
  </si>
  <si>
    <t>1.1.</t>
  </si>
  <si>
    <t>a.</t>
  </si>
  <si>
    <t>b.</t>
  </si>
  <si>
    <t>c.</t>
  </si>
  <si>
    <t>Section 2.</t>
  </si>
  <si>
    <t>Section 3.</t>
  </si>
  <si>
    <t>Section 4.</t>
  </si>
  <si>
    <t>-</t>
  </si>
  <si>
    <t>Notes</t>
  </si>
  <si>
    <t>Contains general notes about the purpose and use of this model.</t>
  </si>
  <si>
    <t>x</t>
  </si>
  <si>
    <t>h</t>
  </si>
  <si>
    <t>O</t>
  </si>
  <si>
    <t>Financial Year</t>
  </si>
  <si>
    <t>Financial Year Period</t>
  </si>
  <si>
    <t>Period Start Date (From Start of Day...)</t>
  </si>
  <si>
    <t>Period End Date (Until End of Day...)</t>
  </si>
  <si>
    <t>Counter</t>
  </si>
  <si>
    <t>Revenue</t>
  </si>
  <si>
    <t>Error Checks</t>
  </si>
  <si>
    <t>Errors Detected - Summary</t>
  </si>
  <si>
    <t>Check</t>
  </si>
  <si>
    <t>Include?</t>
  </si>
  <si>
    <t>Error Message (Empty if None):</t>
  </si>
  <si>
    <t>Sensitivity Checks</t>
  </si>
  <si>
    <t>Sensitivities Detected - Summary</t>
  </si>
  <si>
    <t>Sensitivity Message (Empty if None):</t>
  </si>
  <si>
    <t>Alert Checks</t>
  </si>
  <si>
    <t>Alerts Detected - Summary</t>
  </si>
  <si>
    <t>Alert Message (Empty if None):</t>
  </si>
  <si>
    <t>Operating Expenditure</t>
  </si>
  <si>
    <t>Capital Expenditure</t>
  </si>
  <si>
    <t>Cash Receipts</t>
  </si>
  <si>
    <t>Error Values Detected</t>
  </si>
  <si>
    <t>Error in Balancing of Components</t>
  </si>
  <si>
    <t>Positive Cash Receipts Error</t>
  </si>
  <si>
    <t>Negative Closing Balance Error</t>
  </si>
  <si>
    <t>Cash Payments</t>
  </si>
  <si>
    <t>Positive Cash Payments Error</t>
  </si>
  <si>
    <t>Opening Balance</t>
  </si>
  <si>
    <t>Debt Drawdowns</t>
  </si>
  <si>
    <t>Debt Repayments</t>
  </si>
  <si>
    <t>Closing Debt Balance</t>
  </si>
  <si>
    <t>Drawdowns/Repayments % into Period</t>
  </si>
  <si>
    <t>Interest Expense</t>
  </si>
  <si>
    <t>Opening Interest Payable</t>
  </si>
  <si>
    <t>Base Interest Rate (% p.a.)</t>
  </si>
  <si>
    <t>Margin (% p.a.)</t>
  </si>
  <si>
    <t>All-In Interest Rate (% p.a.)</t>
  </si>
  <si>
    <t>Debt</t>
  </si>
  <si>
    <t>Period % of Full Year</t>
  </si>
  <si>
    <t>Average Debt Outstanding</t>
  </si>
  <si>
    <t>Interest Paid</t>
  </si>
  <si>
    <t>Closing Interest Payable</t>
  </si>
  <si>
    <t>Dividend Method Lookup</t>
  </si>
  <si>
    <t>Dividend Method</t>
  </si>
  <si>
    <t>LU_Eq_Ord_Div_Meth</t>
  </si>
  <si>
    <t>% of NPAT</t>
  </si>
  <si>
    <t>Assume Dividend Amounts</t>
  </si>
  <si>
    <t>Equity Raisings</t>
  </si>
  <si>
    <t>Equity Repayments</t>
  </si>
  <si>
    <t>Closing Ordinary Equity</t>
  </si>
  <si>
    <t>Dividends Payable &amp; Paid</t>
  </si>
  <si>
    <t>Dividend Determination Method:</t>
  </si>
  <si>
    <t>Dividend Declaration Period?</t>
  </si>
  <si>
    <t>Dividends cannot be negative.</t>
  </si>
  <si>
    <t>Dividends cannot exceed accumulated Retained Profits (Opening Retained Profits + Net Profit After Tax) in any period.</t>
  </si>
  <si>
    <t>Ordinary Equity</t>
  </si>
  <si>
    <t>Dividends Declared During Period</t>
  </si>
  <si>
    <t>Dividends Paid During Period</t>
  </si>
  <si>
    <t>Closing Dividends Payable</t>
  </si>
  <si>
    <t>Error in Ordinary Equity Balances</t>
  </si>
  <si>
    <t>Error in Dividends Payable Balances</t>
  </si>
  <si>
    <t>Opening Retained Profits</t>
  </si>
  <si>
    <t>Net Profit After Tax (NPAT)</t>
  </si>
  <si>
    <t>Opening Cash at Bank</t>
  </si>
  <si>
    <t>Cash Flow Available for Dividends</t>
  </si>
  <si>
    <t>Maximum Dividends Allowed</t>
  </si>
  <si>
    <t>Total Available Cash For Dividends</t>
  </si>
  <si>
    <t>Target Dividends Declared</t>
  </si>
  <si>
    <t>Actual Dividends Declared</t>
  </si>
  <si>
    <t>Contains notes explaining the purpose and use of this model and where more help can be obtained.</t>
  </si>
  <si>
    <t>Contains diagrams summarising designated components of the model.</t>
  </si>
  <si>
    <t>Primary Developer:  BPM</t>
  </si>
  <si>
    <t>Overview</t>
  </si>
  <si>
    <t>Also contains keys explaining the Formats &amp; Styles, Sheet Naming &amp; Range Naming principles used in this model.</t>
  </si>
  <si>
    <t>Also contains contact details for BPM.</t>
  </si>
  <si>
    <t>Accounts Receivable</t>
  </si>
  <si>
    <t>Accounts Payable</t>
  </si>
  <si>
    <t>Time Series Assumptions</t>
  </si>
  <si>
    <t>Names</t>
  </si>
  <si>
    <t>Time Series Lookup Tables</t>
  </si>
  <si>
    <t>Month Days</t>
  </si>
  <si>
    <t>LU_Mth_Days</t>
  </si>
  <si>
    <t>Month Names</t>
  </si>
  <si>
    <t>LU_Mth_Names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</si>
  <si>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</si>
  <si>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</si>
  <si>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</si>
  <si>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</si>
  <si>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</si>
  <si>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</si>
  <si>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Semi_Annual</t>
  </si>
  <si>
    <t>Period Type Names</t>
  </si>
  <si>
    <t>LU_Period_Type_Names</t>
  </si>
  <si>
    <t>Periods In Year</t>
  </si>
  <si>
    <t>Conversion Factors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</si>
  <si>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</si>
  <si>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</si>
  <si>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</si>
  <si>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</si>
  <si>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</si>
  <si>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</si>
  <si>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</si>
  <si>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</si>
  <si>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</si>
  <si>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</si>
  <si>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</si>
  <si>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</si>
  <si>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</si>
  <si>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</si>
  <si>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</si>
  <si>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</si>
  <si>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</si>
  <si>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</si>
  <si>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</si>
  <si>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</si>
  <si>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</si>
  <si>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</si>
  <si>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</si>
  <si>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</si>
  <si>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</si>
  <si>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</si>
  <si>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</si>
  <si>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</si>
  <si>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</si>
  <si>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</si>
  <si>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</si>
  <si>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</si>
  <si>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</si>
  <si>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</si>
  <si>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</si>
  <si>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(A)</t>
  </si>
  <si>
    <t>(B)</t>
  </si>
  <si>
    <t>(F)</t>
  </si>
  <si>
    <t>Contains base case assumptions used to generate the base case outputs.</t>
  </si>
  <si>
    <t>Period Key</t>
  </si>
  <si>
    <t>Flag</t>
  </si>
  <si>
    <t>Total Errors:</t>
  </si>
  <si>
    <t>Total Sensitivities:</t>
  </si>
  <si>
    <t>Total Alerts:</t>
  </si>
  <si>
    <t>Contains base case outputs - i.e. includes only the impacts of base case assumptions.</t>
  </si>
  <si>
    <t>Contains model lookup tables.</t>
  </si>
  <si>
    <t>Capital - Lookup Tables</t>
  </si>
  <si>
    <t>Assumptions</t>
  </si>
  <si>
    <t>Outputs</t>
  </si>
  <si>
    <t>Operational - Outputs</t>
  </si>
  <si>
    <t>Assets - Outputs</t>
  </si>
  <si>
    <t>Capital - Outputs</t>
  </si>
  <si>
    <t>Capital - Assumptions</t>
  </si>
  <si>
    <t>Taxation - Assumptions</t>
  </si>
  <si>
    <t>Closing Balance</t>
  </si>
  <si>
    <t>Total Error Checks Result</t>
  </si>
  <si>
    <t>Working Capital - Outputs</t>
  </si>
  <si>
    <t>Error Check</t>
  </si>
  <si>
    <t>Depreciation</t>
  </si>
  <si>
    <t>Total Error Check Result</t>
  </si>
  <si>
    <t>Debt - Assumptions</t>
  </si>
  <si>
    <t>Ordinary Equity - Assumptions</t>
  </si>
  <si>
    <t>Ordinary Equity - Outputs</t>
  </si>
  <si>
    <t>The Corporate Taxation Rate is limited to a minimum of 0% and a maximum of 100%.</t>
  </si>
  <si>
    <t>Taxation - Output Summary</t>
  </si>
  <si>
    <t>Balance Check</t>
  </si>
  <si>
    <t>Alert Check (Negative Cash)</t>
  </si>
  <si>
    <t>Decrease in Accounts Receivable</t>
  </si>
  <si>
    <t>Increase in Accounts Payable</t>
  </si>
  <si>
    <t>Dividends Payable &amp; Paid - Calculation</t>
  </si>
  <si>
    <t>Alert Check (Limited Dividends)</t>
  </si>
  <si>
    <t>Direct Cash Flow Statement</t>
  </si>
  <si>
    <t>Indirect Cash Flow Statement</t>
  </si>
  <si>
    <t>Capital Providers - Cash Flow Reconciliation</t>
  </si>
  <si>
    <t>Dashboard Outputs</t>
  </si>
  <si>
    <t>[Insert Tile 2 Heading]</t>
  </si>
  <si>
    <t>[Insert Tile 4 Heading]</t>
  </si>
  <si>
    <t>[Insert Tile 6 Heading]</t>
  </si>
  <si>
    <t>Business Planning Summary</t>
  </si>
  <si>
    <t>Operating Cash Flows</t>
  </si>
  <si>
    <t>Investing Cash Flows</t>
  </si>
  <si>
    <t>Debt Drawdowns/(Repayments)</t>
  </si>
  <si>
    <t>Equity Drawdowns/(Repayments)</t>
  </si>
  <si>
    <t>Equity Dividends Paid</t>
  </si>
  <si>
    <t>Financing Cash Flows</t>
  </si>
  <si>
    <t>Other Operating Cash Flows</t>
  </si>
  <si>
    <t>Net Increase/(Decrease) in Cash Held</t>
  </si>
  <si>
    <t>EBITDA Margin</t>
  </si>
  <si>
    <t>Chart 1 Data</t>
  </si>
  <si>
    <t>Chart 2 Data</t>
  </si>
  <si>
    <t>Dashboards - Lookup Tables</t>
  </si>
  <si>
    <t>Selected Period</t>
  </si>
  <si>
    <t>Selected Period Lookup</t>
  </si>
  <si>
    <t>Dashboard Lookup Tables</t>
  </si>
  <si>
    <t>LU_Dashboard_Selected_Period</t>
  </si>
  <si>
    <t>Chart 3 Data</t>
  </si>
  <si>
    <t>Chart 4 Data</t>
  </si>
  <si>
    <t>Discretionary</t>
  </si>
  <si>
    <t>Committed</t>
  </si>
  <si>
    <t>Change
(+/-)</t>
  </si>
  <si>
    <t>Invisible Column</t>
  </si>
  <si>
    <t>Visible Column</t>
  </si>
  <si>
    <t>Total
Value</t>
  </si>
  <si>
    <t>Graph Inputs</t>
  </si>
  <si>
    <t>Assets</t>
  </si>
  <si>
    <t>Liabilities</t>
  </si>
  <si>
    <t>Chart 6 Data</t>
  </si>
  <si>
    <t>Best Practice Modelling</t>
  </si>
  <si>
    <t>Cover Notes</t>
  </si>
  <si>
    <t>Section Cover Notes</t>
  </si>
  <si>
    <t>Sub-Section Cover Notes</t>
  </si>
  <si>
    <t>Cost of Goods Sold</t>
  </si>
  <si>
    <t xml:space="preserve">Opening Balance </t>
  </si>
  <si>
    <t>Costs</t>
  </si>
  <si>
    <t>Capital Expenditure - Assets</t>
  </si>
  <si>
    <t>Capital Expenditure - Intangibles</t>
  </si>
  <si>
    <t>Depreciation - % of Capital Expenditure</t>
  </si>
  <si>
    <t>Amortization - % of Capital Expenditure</t>
  </si>
  <si>
    <t>Amortization</t>
  </si>
  <si>
    <t>Gross Margin</t>
  </si>
  <si>
    <t>Depreciation &amp; Amortization</t>
  </si>
  <si>
    <t>Intangibles</t>
  </si>
  <si>
    <t>Debt - Outputs</t>
  </si>
  <si>
    <t>Tax is assumed to be paid in the period after tax expense is incurred.</t>
  </si>
  <si>
    <t>Tax Paid</t>
  </si>
  <si>
    <t>Tax calculations do not allow for tax losses, deferred tax assets or deferred tax liabilities - i.e. negative tax expense will result in cash tax receipts.</t>
  </si>
  <si>
    <t>Debt Interest Payable</t>
  </si>
  <si>
    <t>Movement in Accounts Receivable</t>
  </si>
  <si>
    <t>Movement in Accounts Payable</t>
  </si>
  <si>
    <t>Other Current Assets</t>
  </si>
  <si>
    <t>Other Current Liabilities</t>
  </si>
  <si>
    <t>Other Non-Current Assets</t>
  </si>
  <si>
    <t>Other Non-Current Liabilities</t>
  </si>
  <si>
    <t>Other Current Assets and Other Current Liabilities assumed to impact Other Operating Cash Flows.</t>
  </si>
  <si>
    <t>Other Non-Current Assets and Non-Other Current Liabilities assumed to impact Other Investing Cash Flows.</t>
  </si>
  <si>
    <t>Retained Profits are used to balance the Opening Balance Sheet.</t>
  </si>
  <si>
    <t>Cash at Bank</t>
  </si>
  <si>
    <t>Error Values Check</t>
  </si>
  <si>
    <t>Tax Payable (&amp; Paid)</t>
  </si>
  <si>
    <t>Opening Balance Sheet Balancing Item</t>
  </si>
  <si>
    <t>Other Balance Sheet Items - Outputs</t>
  </si>
  <si>
    <t>Movement</t>
  </si>
  <si>
    <t>Decrease in Other Current Assets</t>
  </si>
  <si>
    <t>Increase in Other Current Liabilities</t>
  </si>
  <si>
    <t>Decrease in Other Non-Current Assets</t>
  </si>
  <si>
    <t>Increase in Other Non-Current Liabilities</t>
  </si>
  <si>
    <t>EBITDA Breakdown</t>
  </si>
  <si>
    <t>Other Investing Cash Flows</t>
  </si>
  <si>
    <t>Sub-Section Cover Notes:</t>
  </si>
  <si>
    <t>Contains assumptions used to drive the time series analysis within the model.</t>
  </si>
  <si>
    <t>Forecast Assumptions</t>
  </si>
  <si>
    <t>Contains forecast assumptions for all areas within the underlying business.</t>
  </si>
  <si>
    <t>Forecast Outputs</t>
  </si>
  <si>
    <t>Contains forecast outputs for all areas within the underlying business other than financial statements.</t>
  </si>
  <si>
    <t>Financial Statements</t>
  </si>
  <si>
    <t>Contains the forecast Income Statement, Balance Sheet and Cash Flow Statement.</t>
  </si>
  <si>
    <t>Sub-Section 2.1.</t>
  </si>
  <si>
    <t>2.1.</t>
  </si>
  <si>
    <t>Sub-Section 2.2.</t>
  </si>
  <si>
    <t>2.2.</t>
  </si>
  <si>
    <t>Sub-Section 3.1.</t>
  </si>
  <si>
    <t>3.1.</t>
  </si>
  <si>
    <t>Sub-Section 3.2.</t>
  </si>
  <si>
    <t>3.2.</t>
  </si>
  <si>
    <t>Sub-Section 3.3.</t>
  </si>
  <si>
    <t>3.3.</t>
  </si>
  <si>
    <t>Sub-Section 4.1.</t>
  </si>
  <si>
    <t>4.1.</t>
  </si>
  <si>
    <t>Sub-Section 4.2.</t>
  </si>
  <si>
    <t>4.2.</t>
  </si>
  <si>
    <t>Other Balance Sheet Items - Assumptions</t>
  </si>
  <si>
    <t>Use the bpmToolbox "Update Time Series Columns" tool to hide inactive data and projections time series periods.</t>
  </si>
  <si>
    <t>Contains a dashboard-style presentation output sheet.</t>
  </si>
  <si>
    <t>Contains checks and lookup tables.</t>
  </si>
  <si>
    <t>Contains error, sensitivity and alert checks.</t>
  </si>
  <si>
    <t>Model Imports</t>
  </si>
  <si>
    <t>Contains data imported from external workbooks.</t>
  </si>
  <si>
    <t>Operational data imported from operational model.</t>
  </si>
  <si>
    <t>Working capital data imported from operational model.</t>
  </si>
  <si>
    <t>Assets data imported from operational model.</t>
  </si>
  <si>
    <t>Linked Workbooks Diagram</t>
  </si>
  <si>
    <t>Description</t>
  </si>
  <si>
    <t>●</t>
  </si>
  <si>
    <t>Financial model.</t>
  </si>
  <si>
    <t>Details</t>
  </si>
  <si>
    <t>Operational</t>
  </si>
  <si>
    <t>Operational model.</t>
  </si>
  <si>
    <t>Sub-Section 4.3.</t>
  </si>
  <si>
    <t>4.3.</t>
  </si>
  <si>
    <t>Practical training exercise designed to demonstrate the best practice linking of multiple workbooks.</t>
  </si>
  <si>
    <t>BPM-SMA 13-Practical Training Exercise 1</t>
  </si>
  <si>
    <t>BPM-SMA 13-Practical Training Exercise 2</t>
  </si>
  <si>
    <t>This workbook imports data from the workbook 'BPM-SMA 13-Practical Exercise 2'.</t>
  </si>
  <si>
    <t>Working Capital - Assumptions</t>
  </si>
  <si>
    <t xml:space="preserve"> Debtors/Creditors Days</t>
  </si>
  <si>
    <t>Error Check (Invalid Days Assumption)</t>
  </si>
  <si>
    <t>Debtors/creditors days assumptions cannot be greater than the number of days in that period.</t>
  </si>
  <si>
    <t>Assets - Assumptions</t>
  </si>
  <si>
    <t xml:space="preserve"> Depreciation/Amortization - % of Capital Expenditure</t>
  </si>
  <si>
    <t>Intangible Assets</t>
  </si>
  <si>
    <t>Debtors Days</t>
  </si>
  <si>
    <t>Creditors Days</t>
  </si>
  <si>
    <t>Contains operational assumptions.</t>
  </si>
  <si>
    <t>Contains working capital, assets, capital structure, taxation and other financial financial statement items assumptions.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</si>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</sst>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17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#,##0.0_);\(#,##0.0\);_(&quot;-&quot;_)"/>
    <numFmt numFmtId="169" formatCode="_(#,##0.0%_);\(#,##0.0%\);_(&quot;-&quot;_)"/>
    <numFmt numFmtId="170" formatCode="_(#,##0.0\x_);\(#,##0.0\x\);_(&quot;-&quot;_)"/>
    <numFmt numFmtId="171" formatCode="_(&quot;$&quot;#,##0.0_);\(&quot;$&quot;#,##0.0\);_(&quot;-&quot;_)"/>
    <numFmt numFmtId="172" formatCode="_(#,##0_);\(#,##0\);_(&quot;-&quot;_)"/>
    <numFmt numFmtId="173" formatCode="#,##0."/>
    <numFmt numFmtId="174" formatCode="_(#,##0.00%_);\(#,##0.00%\);_(&quot;-&quot;_)"/>
    <numFmt numFmtId="175" formatCode="_(#,##0_);\(#,##0\);_(#,##0_)"/>
    <numFmt numFmtId="176" formatCode="_(#,##0_);\(#,##0\);_-&quot;-&quot;_-"/>
    <numFmt numFmtId="177" formatCode="_(###0_);\(###0\);_(&quot;-&quot;_)"/>
    <numFmt numFmtId="178" formatCode="_)d\-mmm\-yy_);_)d\-mmm\-yy_);_)&quot;-&quot;_)"/>
    <numFmt numFmtId="179" formatCode="_(#,##0._);\(#,##0\);_(&quot;-&quot;_)"/>
    <numFmt numFmtId="180" formatCode="#,##0.0"/>
  </numFmts>
  <fonts count="85">
    <font>
      <sz val="8"/>
      <name val="Tahoma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56"/>
      <name val="Wingdings"/>
      <charset val="2"/>
    </font>
    <font>
      <sz val="8"/>
      <color indexed="60"/>
      <name val="Arial"/>
      <family val="2"/>
    </font>
    <font>
      <u/>
      <sz val="8"/>
      <color indexed="12"/>
      <name val="Arial"/>
      <family val="2"/>
    </font>
    <font>
      <b/>
      <sz val="9"/>
      <color indexed="60"/>
      <name val="Arial"/>
      <family val="2"/>
    </font>
    <font>
      <sz val="8"/>
      <name val="Tahoma"/>
      <family val="2"/>
    </font>
    <font>
      <u/>
      <sz val="8"/>
      <color indexed="36"/>
      <name val="Arial"/>
      <family val="2"/>
    </font>
    <font>
      <b/>
      <sz val="10"/>
      <color indexed="59"/>
      <name val="Arial"/>
      <family val="2"/>
    </font>
    <font>
      <b/>
      <u/>
      <sz val="8"/>
      <color indexed="56"/>
      <name val="Tahoma"/>
      <family val="2"/>
    </font>
    <font>
      <sz val="8"/>
      <color indexed="56"/>
      <name val="Tahoma"/>
      <family val="2"/>
    </font>
    <font>
      <b/>
      <sz val="18"/>
      <color theme="3"/>
      <name val="Tahoma"/>
      <family val="2"/>
      <scheme val="major"/>
    </font>
    <font>
      <sz val="8"/>
      <color rgb="FF006100"/>
      <name val="Tahoma"/>
      <family val="2"/>
    </font>
    <font>
      <sz val="8"/>
      <color rgb="FF9C0006"/>
      <name val="Tahoma"/>
      <family val="2"/>
    </font>
    <font>
      <sz val="8"/>
      <color rgb="FF9C6500"/>
      <name val="Tahoma"/>
      <family val="2"/>
    </font>
    <font>
      <sz val="8"/>
      <color rgb="FF3F3F76"/>
      <name val="Tahoma"/>
      <family val="2"/>
    </font>
    <font>
      <b/>
      <sz val="8"/>
      <color rgb="FF3F3F3F"/>
      <name val="Tahoma"/>
      <family val="2"/>
    </font>
    <font>
      <b/>
      <sz val="8"/>
      <color rgb="FFFA7D00"/>
      <name val="Tahoma"/>
      <family val="2"/>
    </font>
    <font>
      <sz val="8"/>
      <color rgb="FFFA7D00"/>
      <name val="Tahoma"/>
      <family val="2"/>
    </font>
    <font>
      <b/>
      <sz val="8"/>
      <color theme="0"/>
      <name val="Tahoma"/>
      <family val="2"/>
    </font>
    <font>
      <sz val="8"/>
      <color rgb="FFFF0000"/>
      <name val="Tahoma"/>
      <family val="2"/>
    </font>
    <font>
      <sz val="8"/>
      <name val="Arial"/>
      <family val="2"/>
    </font>
    <font>
      <i/>
      <sz val="8"/>
      <color rgb="FF7F7F7F"/>
      <name val="Tahoma"/>
      <family val="2"/>
    </font>
    <font>
      <b/>
      <sz val="8"/>
      <color theme="1"/>
      <name val="Tahoma"/>
      <family val="2"/>
    </font>
    <font>
      <sz val="8"/>
      <color theme="0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u/>
      <sz val="8"/>
      <color theme="10"/>
      <name val="Tahoma"/>
      <family val="2"/>
    </font>
    <font>
      <b/>
      <sz val="14"/>
      <color indexed="60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8"/>
      <color indexed="59"/>
      <name val="Tahoma"/>
      <family val="2"/>
      <scheme val="major"/>
    </font>
    <font>
      <sz val="8"/>
      <color indexed="60"/>
      <name val="Tahoma"/>
      <family val="2"/>
      <scheme val="minor"/>
    </font>
    <font>
      <b/>
      <sz val="8"/>
      <color indexed="60"/>
      <name val="Tahoma"/>
      <family val="2"/>
      <scheme val="minor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10"/>
      <color indexed="59"/>
      <name val="Tahoma"/>
      <family val="2"/>
      <scheme val="major"/>
    </font>
    <font>
      <sz val="8"/>
      <color rgb="FFFFFFFF"/>
      <name val="Tahoma"/>
      <family val="2"/>
      <scheme val="minor"/>
    </font>
    <font>
      <sz val="8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59"/>
      <name val="Tahoma"/>
      <family val="2"/>
      <scheme val="major"/>
    </font>
    <font>
      <b/>
      <sz val="9"/>
      <color indexed="63"/>
      <name val="Tahoma"/>
      <family val="2"/>
    </font>
    <font>
      <i/>
      <sz val="8"/>
      <name val="Tahoma"/>
      <family val="2"/>
    </font>
    <font>
      <i/>
      <sz val="8"/>
      <color indexed="60"/>
      <name val="Tahoma"/>
      <family val="2"/>
      <scheme val="major"/>
    </font>
    <font>
      <b/>
      <sz val="8"/>
      <color theme="2"/>
      <name val="Tahoma"/>
      <family val="2"/>
    </font>
    <font>
      <b/>
      <sz val="8"/>
      <color theme="3"/>
      <name val="Tahoma"/>
      <family val="2"/>
    </font>
    <font>
      <sz val="8"/>
      <color theme="3"/>
      <name val="Tahoma"/>
      <family val="2"/>
    </font>
    <font>
      <sz val="8"/>
      <color theme="5"/>
      <name val="Tahoma"/>
      <family val="2"/>
    </font>
    <font>
      <b/>
      <sz val="8"/>
      <color theme="5"/>
      <name val="Tahoma"/>
      <family val="2"/>
    </font>
    <font>
      <i/>
      <sz val="8"/>
      <name val="Tahoma"/>
      <family val="2"/>
      <scheme val="minor"/>
    </font>
    <font>
      <i/>
      <sz val="8"/>
      <color indexed="59"/>
      <name val="Tahoma"/>
      <family val="2"/>
      <scheme val="minor"/>
    </font>
    <font>
      <i/>
      <sz val="8"/>
      <color indexed="59"/>
      <name val="Tahoma"/>
      <family val="2"/>
      <scheme val="major"/>
    </font>
    <font>
      <sz val="8"/>
      <color rgb="FFFFFFFF"/>
      <name val="Tahoma"/>
      <family val="2"/>
      <scheme val="major"/>
    </font>
    <font>
      <u/>
      <sz val="8"/>
      <color indexed="6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 style="thin">
        <color indexed="18"/>
      </left>
      <right style="thin">
        <color indexed="64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 style="medium">
        <color indexed="18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106">
    <xf numFmtId="0" fontId="0" fillId="0" borderId="0" applyFill="0" applyBorder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1" fillId="0" borderId="0" applyFill="0" applyBorder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1" applyNumberFormat="0" applyAlignment="0" applyProtection="0"/>
    <xf numFmtId="0" fontId="19" fillId="8" borderId="12" applyNumberFormat="0" applyAlignment="0" applyProtection="0"/>
    <xf numFmtId="0" fontId="20" fillId="8" borderId="11" applyNumberFormat="0" applyAlignment="0" applyProtection="0"/>
    <xf numFmtId="0" fontId="21" fillId="0" borderId="13" applyNumberFormat="0" applyFill="0" applyAlignment="0" applyProtection="0"/>
    <xf numFmtId="0" fontId="22" fillId="9" borderId="14" applyNumberFormat="0" applyAlignment="0" applyProtection="0"/>
    <xf numFmtId="0" fontId="23" fillId="0" borderId="0" applyNumberFormat="0" applyFill="0" applyBorder="0" applyAlignment="0" applyProtection="0"/>
    <xf numFmtId="0" fontId="24" fillId="10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7" fillId="34" borderId="0" applyNumberFormat="0" applyBorder="0" applyAlignment="0" applyProtection="0"/>
    <xf numFmtId="0" fontId="31" fillId="0" borderId="0" applyFill="0" applyBorder="0">
      <alignment vertical="center"/>
    </xf>
    <xf numFmtId="0" fontId="33" fillId="0" borderId="0" applyFill="0" applyBorder="0">
      <alignment vertical="center"/>
    </xf>
    <xf numFmtId="0" fontId="35" fillId="0" borderId="0" applyFill="0" applyBorder="0">
      <alignment vertical="center"/>
    </xf>
    <xf numFmtId="0" fontId="37" fillId="0" borderId="0" applyFill="0" applyBorder="0">
      <alignment vertical="center"/>
    </xf>
    <xf numFmtId="0" fontId="39" fillId="0" borderId="0" applyFill="0" applyBorder="0">
      <alignment vertical="center"/>
    </xf>
    <xf numFmtId="0" fontId="40" fillId="0" borderId="0" applyFill="0" applyBorder="0">
      <alignment vertical="center"/>
    </xf>
    <xf numFmtId="0" fontId="41" fillId="0" borderId="0" applyFill="0" applyBorder="0">
      <alignment vertical="center"/>
    </xf>
    <xf numFmtId="0" fontId="41" fillId="0" borderId="0" applyFill="0" applyBorder="0">
      <alignment vertical="center"/>
      <protection locked="0"/>
    </xf>
    <xf numFmtId="0" fontId="42" fillId="0" borderId="10">
      <alignment vertical="center"/>
      <protection locked="0"/>
    </xf>
    <xf numFmtId="177" fontId="42" fillId="0" borderId="10">
      <alignment vertical="center"/>
      <protection locked="0"/>
    </xf>
    <xf numFmtId="178" fontId="42" fillId="0" borderId="10">
      <alignment vertical="center"/>
      <protection locked="0"/>
    </xf>
    <xf numFmtId="168" fontId="42" fillId="0" borderId="10">
      <alignment vertical="center"/>
      <protection locked="0"/>
    </xf>
    <xf numFmtId="169" fontId="42" fillId="0" borderId="10">
      <alignment vertical="center"/>
      <protection locked="0"/>
    </xf>
    <xf numFmtId="170" fontId="42" fillId="0" borderId="10">
      <alignment vertical="center"/>
      <protection locked="0"/>
    </xf>
    <xf numFmtId="171" fontId="42" fillId="0" borderId="10">
      <alignment vertical="center"/>
      <protection locked="0"/>
    </xf>
    <xf numFmtId="0" fontId="9" fillId="0" borderId="0" applyNumberFormat="0" applyFont="0" applyFill="0" applyBorder="0">
      <alignment horizontal="center" vertical="center"/>
      <protection locked="0"/>
    </xf>
    <xf numFmtId="177" fontId="42" fillId="0" borderId="0" applyFill="0" applyBorder="0">
      <alignment vertical="center"/>
    </xf>
    <xf numFmtId="178" fontId="42" fillId="0" borderId="0" applyFill="0" applyBorder="0">
      <alignment vertical="center"/>
    </xf>
    <xf numFmtId="168" fontId="42" fillId="0" borderId="0" applyFill="0" applyBorder="0">
      <alignment vertical="center"/>
    </xf>
    <xf numFmtId="169" fontId="42" fillId="0" borderId="0" applyFill="0" applyBorder="0">
      <alignment vertical="center"/>
    </xf>
    <xf numFmtId="170" fontId="42" fillId="0" borderId="0" applyFill="0" applyBorder="0">
      <alignment vertical="center"/>
    </xf>
    <xf numFmtId="171" fontId="42" fillId="0" borderId="0" applyFill="0" applyBorder="0">
      <alignment vertical="center"/>
    </xf>
    <xf numFmtId="0" fontId="43" fillId="0" borderId="0" applyFill="0" applyBorder="0">
      <alignment vertical="center"/>
    </xf>
    <xf numFmtId="0" fontId="43" fillId="0" borderId="1" applyFill="0">
      <alignment horizontal="center" vertical="center"/>
    </xf>
    <xf numFmtId="175" fontId="42" fillId="0" borderId="1" applyFill="0">
      <alignment horizontal="center" vertical="center"/>
    </xf>
    <xf numFmtId="0" fontId="42" fillId="0" borderId="1" applyFill="0">
      <alignment horizontal="center" vertical="center"/>
    </xf>
    <xf numFmtId="0" fontId="44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6" fillId="0" borderId="0" applyFill="0" applyBorder="0">
      <alignment vertical="center"/>
    </xf>
    <xf numFmtId="0" fontId="48" fillId="0" borderId="0" applyFill="0" applyBorder="0">
      <alignment vertical="center"/>
    </xf>
    <xf numFmtId="0" fontId="49" fillId="0" borderId="0" applyFill="0" applyBorder="0">
      <alignment vertical="center"/>
    </xf>
    <xf numFmtId="0" fontId="49" fillId="0" borderId="0" applyFill="0" applyBorder="0">
      <alignment vertical="center"/>
    </xf>
    <xf numFmtId="0" fontId="30" fillId="0" borderId="0" applyFill="0" applyBorder="0">
      <alignment vertical="center"/>
    </xf>
    <xf numFmtId="0" fontId="32" fillId="0" borderId="0" applyFill="0" applyBorder="0">
      <alignment vertical="center"/>
    </xf>
    <xf numFmtId="0" fontId="34" fillId="0" borderId="0" applyFill="0" applyBorder="0">
      <alignment vertical="center"/>
    </xf>
    <xf numFmtId="0" fontId="36" fillId="0" borderId="0" applyFill="0" applyBorder="0">
      <alignment vertical="center"/>
    </xf>
    <xf numFmtId="0" fontId="38" fillId="0" borderId="0" applyFill="0" applyBorder="0">
      <alignment vertical="center"/>
    </xf>
    <xf numFmtId="0" fontId="29" fillId="0" borderId="0" applyFill="0" applyBorder="0">
      <alignment vertical="center"/>
    </xf>
    <xf numFmtId="0" fontId="9" fillId="0" borderId="0" applyFill="0" applyBorder="0">
      <alignment vertical="center"/>
    </xf>
    <xf numFmtId="0" fontId="9" fillId="0" borderId="0" applyFill="0" applyBorder="0">
      <alignment vertical="center"/>
      <protection locked="0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170" fontId="9" fillId="0" borderId="0" applyFill="0" applyBorder="0">
      <alignment vertical="center"/>
    </xf>
    <xf numFmtId="171" fontId="9" fillId="0" borderId="0" applyFill="0" applyBorder="0">
      <alignment vertical="center"/>
    </xf>
    <xf numFmtId="177" fontId="9" fillId="0" borderId="0" applyFill="0" applyBorder="0">
      <alignment vertical="center"/>
    </xf>
    <xf numFmtId="178" fontId="9" fillId="0" borderId="0" applyFill="0" applyBorder="0">
      <alignment vertical="center"/>
    </xf>
    <xf numFmtId="0" fontId="29" fillId="0" borderId="0" applyFill="0" applyBorder="0">
      <alignment vertical="center"/>
    </xf>
    <xf numFmtId="0" fontId="12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5" fillId="0" borderId="0" applyFill="0" applyBorder="0">
      <alignment vertical="center"/>
    </xf>
    <xf numFmtId="0" fontId="47" fillId="0" borderId="0" applyFill="0" applyBorder="0">
      <alignment vertical="center"/>
    </xf>
    <xf numFmtId="0" fontId="13" fillId="0" borderId="0" applyFill="0" applyBorder="0">
      <alignment vertical="center"/>
    </xf>
    <xf numFmtId="0" fontId="13" fillId="0" borderId="0" applyFill="0" applyBorder="0">
      <alignment vertical="center"/>
    </xf>
    <xf numFmtId="0" fontId="9" fillId="0" borderId="0" applyFill="0" applyBorder="0">
      <alignment vertical="center"/>
    </xf>
  </cellStyleXfs>
  <cellXfs count="280">
    <xf numFmtId="0" fontId="0" fillId="0" borderId="0" xfId="0">
      <alignment vertical="center"/>
    </xf>
    <xf numFmtId="0" fontId="51" fillId="0" borderId="0" xfId="50" applyFont="1">
      <alignment vertical="center"/>
    </xf>
    <xf numFmtId="0" fontId="35" fillId="0" borderId="0" xfId="52" applyFont="1">
      <alignment vertical="center"/>
    </xf>
    <xf numFmtId="0" fontId="52" fillId="0" borderId="0" xfId="52" applyFont="1">
      <alignment vertical="center"/>
    </xf>
    <xf numFmtId="0" fontId="40" fillId="0" borderId="0" xfId="55" applyFont="1">
      <alignment vertical="center"/>
    </xf>
    <xf numFmtId="0" fontId="41" fillId="0" borderId="0" xfId="56" applyFont="1">
      <alignment vertical="center"/>
    </xf>
    <xf numFmtId="0" fontId="54" fillId="0" borderId="0" xfId="56" applyFont="1">
      <alignment vertical="center"/>
    </xf>
    <xf numFmtId="0" fontId="50" fillId="0" borderId="0" xfId="1" applyAlignment="1" applyProtection="1">
      <alignment vertical="center"/>
    </xf>
    <xf numFmtId="0" fontId="5" fillId="0" borderId="0" xfId="77">
      <alignment horizontal="center" vertical="center"/>
    </xf>
    <xf numFmtId="0" fontId="5" fillId="0" borderId="0" xfId="77" applyAlignment="1">
      <alignment horizontal="right" vertical="center"/>
    </xf>
    <xf numFmtId="0" fontId="5" fillId="0" borderId="0" xfId="77" applyAlignment="1">
      <alignment horizontal="left" vertical="center"/>
    </xf>
    <xf numFmtId="0" fontId="5" fillId="0" borderId="0" xfId="78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53" fillId="0" borderId="0" xfId="55" applyFont="1" applyAlignment="1">
      <alignment horizontal="left" vertical="center"/>
    </xf>
    <xf numFmtId="0" fontId="54" fillId="0" borderId="0" xfId="56" applyFont="1" applyAlignment="1">
      <alignment horizontal="left" vertical="center"/>
    </xf>
    <xf numFmtId="0" fontId="57" fillId="0" borderId="0" xfId="51" applyFont="1">
      <alignment vertical="center"/>
    </xf>
    <xf numFmtId="0" fontId="9" fillId="0" borderId="0" xfId="105">
      <alignment vertical="center"/>
    </xf>
    <xf numFmtId="0" fontId="34" fillId="0" borderId="0" xfId="85">
      <alignment vertical="center"/>
    </xf>
    <xf numFmtId="0" fontId="30" fillId="0" borderId="0" xfId="83">
      <alignment vertical="center"/>
    </xf>
    <xf numFmtId="0" fontId="5" fillId="0" borderId="0" xfId="99">
      <alignment horizontal="center" vertical="center"/>
    </xf>
    <xf numFmtId="0" fontId="56" fillId="0" borderId="0" xfId="53" applyFont="1" applyAlignment="1">
      <alignment horizontal="left" vertical="center"/>
    </xf>
    <xf numFmtId="0" fontId="55" fillId="0" borderId="0" xfId="54" applyFont="1" applyAlignment="1">
      <alignment horizontal="left" vertical="center"/>
    </xf>
    <xf numFmtId="0" fontId="60" fillId="0" borderId="1" xfId="73" applyFont="1" applyAlignment="1">
      <alignment horizontal="center" vertical="center"/>
    </xf>
    <xf numFmtId="0" fontId="59" fillId="0" borderId="1" xfId="75" applyFont="1" applyAlignment="1">
      <alignment horizontal="center" vertical="center"/>
    </xf>
    <xf numFmtId="172" fontId="59" fillId="0" borderId="1" xfId="74" applyNumberFormat="1" applyFont="1" applyAlignment="1">
      <alignment horizontal="center" vertical="center"/>
    </xf>
    <xf numFmtId="172" fontId="42" fillId="0" borderId="1" xfId="74" applyNumberFormat="1" applyFont="1" applyAlignment="1">
      <alignment horizontal="center" vertical="center"/>
    </xf>
    <xf numFmtId="0" fontId="35" fillId="2" borderId="0" xfId="52" applyFont="1" applyFill="1">
      <alignment vertical="center"/>
    </xf>
    <xf numFmtId="0" fontId="51" fillId="2" borderId="0" xfId="50" applyFont="1" applyFill="1">
      <alignment vertical="center"/>
    </xf>
    <xf numFmtId="0" fontId="5" fillId="2" borderId="0" xfId="77" applyFill="1">
      <alignment horizontal="center" vertical="center"/>
    </xf>
    <xf numFmtId="0" fontId="5" fillId="2" borderId="0" xfId="77" applyFill="1" applyAlignment="1">
      <alignment horizontal="right" vertical="center"/>
    </xf>
    <xf numFmtId="0" fontId="5" fillId="2" borderId="0" xfId="77" applyFill="1" applyAlignment="1">
      <alignment horizontal="left" vertical="center"/>
    </xf>
    <xf numFmtId="0" fontId="5" fillId="2" borderId="0" xfId="78" applyFill="1" applyAlignment="1">
      <alignment horizontal="left" vertical="center"/>
    </xf>
    <xf numFmtId="0" fontId="56" fillId="2" borderId="0" xfId="53" applyFont="1" applyFill="1" applyAlignment="1">
      <alignment horizontal="left" vertical="center"/>
    </xf>
    <xf numFmtId="0" fontId="55" fillId="2" borderId="0" xfId="54" applyFont="1" applyFill="1" applyAlignment="1">
      <alignment horizontal="left" vertical="center"/>
    </xf>
    <xf numFmtId="0" fontId="54" fillId="2" borderId="0" xfId="56" applyFont="1" applyFill="1" applyAlignment="1">
      <alignment horizontal="left" vertical="center"/>
    </xf>
    <xf numFmtId="0" fontId="53" fillId="2" borderId="0" xfId="55" applyFont="1" applyFill="1" applyAlignment="1">
      <alignment horizontal="left" vertical="center"/>
    </xf>
    <xf numFmtId="0" fontId="54" fillId="2" borderId="0" xfId="56" quotePrefix="1" applyFont="1" applyFill="1" applyAlignment="1">
      <alignment horizontal="right" vertical="center"/>
    </xf>
    <xf numFmtId="0" fontId="54" fillId="2" borderId="0" xfId="56" quotePrefix="1" applyFont="1" applyFill="1" applyAlignment="1">
      <alignment horizontal="left" vertical="center"/>
    </xf>
    <xf numFmtId="0" fontId="61" fillId="2" borderId="0" xfId="65" applyFont="1" applyFill="1" applyAlignment="1">
      <alignment horizontal="center" vertical="center"/>
      <protection locked="0"/>
    </xf>
    <xf numFmtId="0" fontId="64" fillId="2" borderId="0" xfId="72" applyFont="1" applyFill="1" applyAlignment="1">
      <alignment horizontal="left" vertical="center"/>
    </xf>
    <xf numFmtId="0" fontId="64" fillId="2" borderId="0" xfId="72" applyFont="1" applyFill="1" applyAlignment="1">
      <alignment horizontal="right" vertical="center"/>
    </xf>
    <xf numFmtId="178" fontId="42" fillId="2" borderId="0" xfId="67" applyFont="1" applyFill="1" applyAlignment="1">
      <alignment horizontal="right" vertical="center"/>
    </xf>
    <xf numFmtId="177" fontId="63" fillId="2" borderId="0" xfId="66" applyFont="1" applyFill="1" applyAlignment="1">
      <alignment horizontal="right" vertical="center"/>
    </xf>
    <xf numFmtId="0" fontId="62" fillId="2" borderId="0" xfId="56" applyFont="1" applyFill="1" applyAlignment="1">
      <alignment horizontal="right" vertical="center"/>
    </xf>
    <xf numFmtId="172" fontId="42" fillId="2" borderId="0" xfId="68" applyNumberFormat="1" applyFont="1" applyFill="1" applyAlignment="1">
      <alignment horizontal="right" vertical="center"/>
    </xf>
    <xf numFmtId="0" fontId="64" fillId="2" borderId="2" xfId="72" applyFont="1" applyFill="1" applyBorder="1" applyAlignment="1">
      <alignment horizontal="left" vertical="center"/>
    </xf>
    <xf numFmtId="0" fontId="64" fillId="2" borderId="2" xfId="72" applyFont="1" applyFill="1" applyBorder="1" applyAlignment="1">
      <alignment horizontal="right" vertical="center"/>
    </xf>
    <xf numFmtId="0" fontId="54" fillId="2" borderId="2" xfId="56" applyFont="1" applyFill="1" applyBorder="1" applyAlignment="1">
      <alignment horizontal="left" vertical="center"/>
    </xf>
    <xf numFmtId="168" fontId="63" fillId="2" borderId="2" xfId="68" applyFont="1" applyFill="1" applyBorder="1" applyAlignment="1">
      <alignment horizontal="right" vertical="center"/>
    </xf>
    <xf numFmtId="0" fontId="55" fillId="2" borderId="0" xfId="54" applyFont="1" applyFill="1">
      <alignment vertical="center"/>
    </xf>
    <xf numFmtId="0" fontId="53" fillId="2" borderId="0" xfId="55" applyFont="1" applyFill="1">
      <alignment vertical="center"/>
    </xf>
    <xf numFmtId="169" fontId="59" fillId="0" borderId="10" xfId="62" applyFont="1">
      <alignment vertical="center"/>
      <protection locked="0"/>
    </xf>
    <xf numFmtId="168" fontId="59" fillId="0" borderId="21" xfId="61" applyFont="1" applyBorder="1">
      <alignment vertical="center"/>
      <protection locked="0"/>
    </xf>
    <xf numFmtId="0" fontId="54" fillId="2" borderId="0" xfId="56" applyFont="1" applyFill="1">
      <alignment vertical="center"/>
    </xf>
    <xf numFmtId="0" fontId="59" fillId="0" borderId="0" xfId="65" applyFont="1" applyAlignment="1">
      <alignment horizontal="center" vertical="center"/>
      <protection locked="0"/>
    </xf>
    <xf numFmtId="0" fontId="66" fillId="0" borderId="0" xfId="65" applyFont="1" applyAlignment="1">
      <alignment horizontal="center" vertical="center"/>
      <protection locked="0"/>
    </xf>
    <xf numFmtId="0" fontId="53" fillId="0" borderId="2" xfId="55" applyFont="1" applyBorder="1" applyAlignment="1">
      <alignment horizontal="left" vertical="center"/>
    </xf>
    <xf numFmtId="0" fontId="53" fillId="0" borderId="2" xfId="55" applyFont="1" applyBorder="1" applyAlignment="1">
      <alignment horizontal="center" vertical="center"/>
    </xf>
    <xf numFmtId="172" fontId="63" fillId="0" borderId="0" xfId="68" applyNumberFormat="1" applyFont="1" applyAlignment="1">
      <alignment horizontal="center" vertical="center"/>
    </xf>
    <xf numFmtId="172" fontId="64" fillId="0" borderId="1" xfId="68" applyNumberFormat="1" applyFont="1" applyBorder="1" applyAlignment="1">
      <alignment horizontal="center" vertical="center"/>
    </xf>
    <xf numFmtId="0" fontId="40" fillId="0" borderId="0" xfId="55" applyFont="1" applyAlignment="1">
      <alignment horizontal="left" vertical="center"/>
    </xf>
    <xf numFmtId="172" fontId="42" fillId="0" borderId="0" xfId="68" applyNumberFormat="1" applyFont="1" applyAlignment="1">
      <alignment horizontal="center" vertical="center"/>
    </xf>
    <xf numFmtId="172" fontId="43" fillId="0" borderId="17" xfId="68" applyNumberFormat="1" applyFont="1" applyBorder="1" applyAlignment="1">
      <alignment horizontal="center" vertical="center"/>
    </xf>
    <xf numFmtId="172" fontId="53" fillId="0" borderId="0" xfId="55" applyNumberFormat="1" applyFont="1" applyAlignment="1">
      <alignment horizontal="left" vertical="center"/>
    </xf>
    <xf numFmtId="172" fontId="58" fillId="0" borderId="5" xfId="56" applyNumberFormat="1" applyFont="1" applyBorder="1" applyAlignment="1">
      <alignment horizontal="left" vertical="center"/>
    </xf>
    <xf numFmtId="0" fontId="53" fillId="0" borderId="0" xfId="55" applyFont="1" applyBorder="1" applyAlignment="1">
      <alignment horizontal="left" vertical="center"/>
    </xf>
    <xf numFmtId="0" fontId="53" fillId="0" borderId="0" xfId="55" applyFont="1" applyBorder="1" applyAlignment="1">
      <alignment horizontal="center" vertical="center"/>
    </xf>
    <xf numFmtId="0" fontId="5" fillId="2" borderId="0" xfId="78" applyFill="1" applyAlignment="1">
      <alignment horizontal="center" vertical="center"/>
    </xf>
    <xf numFmtId="0" fontId="67" fillId="2" borderId="0" xfId="65" applyFont="1" applyFill="1">
      <alignment horizontal="center" vertical="center"/>
      <protection locked="0"/>
    </xf>
    <xf numFmtId="179" fontId="59" fillId="2" borderId="0" xfId="68" quotePrefix="1" applyNumberFormat="1" applyFont="1" applyFill="1" applyAlignment="1">
      <alignment horizontal="right" vertical="center"/>
    </xf>
    <xf numFmtId="168" fontId="42" fillId="2" borderId="0" xfId="68" applyFont="1" applyFill="1">
      <alignment vertical="center"/>
    </xf>
    <xf numFmtId="0" fontId="64" fillId="0" borderId="0" xfId="72" applyFont="1" applyAlignment="1">
      <alignment horizontal="left" vertical="center"/>
    </xf>
    <xf numFmtId="0" fontId="64" fillId="0" borderId="0" xfId="72" applyFont="1" applyAlignment="1">
      <alignment horizontal="right" vertical="center"/>
    </xf>
    <xf numFmtId="178" fontId="42" fillId="0" borderId="0" xfId="67" applyFont="1" applyAlignment="1">
      <alignment horizontal="right" vertical="center"/>
    </xf>
    <xf numFmtId="177" fontId="63" fillId="0" borderId="0" xfId="66" applyFont="1" applyAlignment="1">
      <alignment horizontal="right" vertical="center"/>
    </xf>
    <xf numFmtId="0" fontId="62" fillId="0" borderId="0" xfId="56" applyFont="1" applyAlignment="1">
      <alignment horizontal="right" vertical="center"/>
    </xf>
    <xf numFmtId="172" fontId="42" fillId="0" borderId="0" xfId="68" applyNumberFormat="1" applyFont="1" applyAlignment="1">
      <alignment horizontal="right" vertical="center"/>
    </xf>
    <xf numFmtId="0" fontId="64" fillId="0" borderId="2" xfId="72" applyFont="1" applyBorder="1" applyAlignment="1">
      <alignment horizontal="left" vertical="center"/>
    </xf>
    <xf numFmtId="0" fontId="64" fillId="0" borderId="2" xfId="72" applyFont="1" applyBorder="1" applyAlignment="1">
      <alignment horizontal="right" vertical="center"/>
    </xf>
    <xf numFmtId="0" fontId="54" fillId="0" borderId="2" xfId="56" applyFont="1" applyBorder="1" applyAlignment="1">
      <alignment horizontal="left" vertical="center"/>
    </xf>
    <xf numFmtId="168" fontId="63" fillId="0" borderId="2" xfId="68" applyFont="1" applyBorder="1" applyAlignment="1">
      <alignment horizontal="right" vertical="center"/>
    </xf>
    <xf numFmtId="0" fontId="55" fillId="0" borderId="0" xfId="54" applyFont="1">
      <alignment vertical="center"/>
    </xf>
    <xf numFmtId="168" fontId="42" fillId="0" borderId="0" xfId="68" applyFont="1">
      <alignment vertical="center"/>
    </xf>
    <xf numFmtId="172" fontId="42" fillId="0" borderId="0" xfId="68" applyNumberFormat="1" applyFont="1">
      <alignment vertical="center"/>
    </xf>
    <xf numFmtId="168" fontId="42" fillId="0" borderId="2" xfId="68" applyFont="1" applyBorder="1">
      <alignment vertical="center"/>
    </xf>
    <xf numFmtId="168" fontId="43" fillId="0" borderId="0" xfId="68" applyFont="1">
      <alignment vertical="center"/>
    </xf>
    <xf numFmtId="176" fontId="43" fillId="0" borderId="4" xfId="68" applyNumberFormat="1" applyFont="1" applyBorder="1" applyAlignment="1">
      <alignment horizontal="right" vertical="center"/>
    </xf>
    <xf numFmtId="0" fontId="37" fillId="0" borderId="0" xfId="53" applyFont="1">
      <alignment vertical="center"/>
    </xf>
    <xf numFmtId="0" fontId="65" fillId="0" borderId="0" xfId="53" applyFont="1">
      <alignment vertical="center"/>
    </xf>
    <xf numFmtId="169" fontId="63" fillId="0" borderId="0" xfId="69" applyFont="1">
      <alignment vertical="center"/>
    </xf>
    <xf numFmtId="172" fontId="63" fillId="0" borderId="0" xfId="68" applyNumberFormat="1" applyFont="1">
      <alignment vertical="center"/>
    </xf>
    <xf numFmtId="0" fontId="60" fillId="0" borderId="1" xfId="73" applyFont="1">
      <alignment horizontal="center" vertical="center"/>
    </xf>
    <xf numFmtId="0" fontId="59" fillId="0" borderId="1" xfId="75" applyFont="1">
      <alignment horizontal="center" vertical="center"/>
    </xf>
    <xf numFmtId="0" fontId="49" fillId="0" borderId="0" xfId="82" applyFont="1" applyAlignment="1">
      <alignment horizontal="center" vertical="center"/>
    </xf>
    <xf numFmtId="0" fontId="5" fillId="0" borderId="0" xfId="77" applyBorder="1">
      <alignment horizontal="center" vertical="center"/>
    </xf>
    <xf numFmtId="0" fontId="44" fillId="0" borderId="0" xfId="76">
      <alignment vertical="center"/>
    </xf>
    <xf numFmtId="0" fontId="54" fillId="0" borderId="0" xfId="56" applyFont="1">
      <alignment vertical="center"/>
    </xf>
    <xf numFmtId="0" fontId="53" fillId="0" borderId="0" xfId="55" applyFont="1">
      <alignment vertical="center"/>
    </xf>
    <xf numFmtId="0" fontId="0" fillId="2" borderId="0" xfId="0" applyFill="1">
      <alignment vertical="center"/>
    </xf>
    <xf numFmtId="0" fontId="41" fillId="0" borderId="0" xfId="56" applyFont="1" applyAlignment="1">
      <alignment horizontal="center" vertical="center"/>
    </xf>
    <xf numFmtId="0" fontId="12" fillId="0" borderId="0" xfId="98">
      <alignment vertical="center"/>
    </xf>
    <xf numFmtId="0" fontId="54" fillId="0" borderId="0" xfId="56" applyFont="1" applyAlignment="1">
      <alignment horizontal="left" vertical="center"/>
    </xf>
    <xf numFmtId="0" fontId="56" fillId="2" borderId="0" xfId="53" applyFont="1" applyFill="1">
      <alignment vertical="center"/>
    </xf>
    <xf numFmtId="168" fontId="59" fillId="0" borderId="10" xfId="61" applyFont="1">
      <alignment vertical="center"/>
      <protection locked="0"/>
    </xf>
    <xf numFmtId="0" fontId="62" fillId="0" borderId="0" xfId="56" applyFont="1">
      <alignment vertical="center"/>
    </xf>
    <xf numFmtId="169" fontId="42" fillId="0" borderId="0" xfId="69" applyFont="1">
      <alignment vertical="center"/>
    </xf>
    <xf numFmtId="0" fontId="56" fillId="0" borderId="0" xfId="53" applyFont="1">
      <alignment vertical="center"/>
    </xf>
    <xf numFmtId="0" fontId="39" fillId="0" borderId="0" xfId="54" applyFont="1">
      <alignment vertical="center"/>
    </xf>
    <xf numFmtId="168" fontId="42" fillId="0" borderId="3" xfId="68" applyFont="1" applyBorder="1">
      <alignment vertical="center"/>
    </xf>
    <xf numFmtId="168" fontId="63" fillId="0" borderId="3" xfId="68" applyFont="1" applyBorder="1">
      <alignment vertical="center"/>
    </xf>
    <xf numFmtId="172" fontId="63" fillId="0" borderId="3" xfId="68" applyNumberFormat="1" applyFont="1" applyBorder="1">
      <alignment vertical="center"/>
    </xf>
    <xf numFmtId="0" fontId="71" fillId="0" borderId="0" xfId="54" applyFont="1">
      <alignment vertical="center"/>
    </xf>
    <xf numFmtId="168" fontId="43" fillId="0" borderId="6" xfId="68" applyFont="1" applyBorder="1">
      <alignment vertical="center"/>
    </xf>
    <xf numFmtId="0" fontId="71" fillId="2" borderId="0" xfId="54" applyFont="1" applyFill="1">
      <alignment vertical="center"/>
    </xf>
    <xf numFmtId="168" fontId="43" fillId="2" borderId="6" xfId="68" applyFont="1" applyFill="1" applyBorder="1">
      <alignment vertical="center"/>
    </xf>
    <xf numFmtId="0" fontId="62" fillId="2" borderId="0" xfId="56" applyFont="1" applyFill="1">
      <alignment vertical="center"/>
    </xf>
    <xf numFmtId="174" fontId="42" fillId="0" borderId="0" xfId="69" applyNumberFormat="1" applyFont="1">
      <alignment vertical="center"/>
    </xf>
    <xf numFmtId="174" fontId="59" fillId="0" borderId="10" xfId="62" applyNumberFormat="1" applyFont="1">
      <alignment vertical="center"/>
      <protection locked="0"/>
    </xf>
    <xf numFmtId="174" fontId="42" fillId="2" borderId="6" xfId="69" applyNumberFormat="1" applyFont="1" applyFill="1" applyBorder="1">
      <alignment vertical="center"/>
    </xf>
    <xf numFmtId="0" fontId="58" fillId="2" borderId="0" xfId="55" applyFont="1" applyFill="1">
      <alignment vertical="center"/>
    </xf>
    <xf numFmtId="174" fontId="42" fillId="0" borderId="6" xfId="69" applyNumberFormat="1" applyFont="1" applyBorder="1">
      <alignment vertical="center"/>
    </xf>
    <xf numFmtId="0" fontId="58" fillId="0" borderId="0" xfId="55" applyFont="1">
      <alignment vertical="center"/>
    </xf>
    <xf numFmtId="0" fontId="59" fillId="0" borderId="10" xfId="58" applyFont="1" applyAlignment="1">
      <alignment horizontal="center" vertical="center"/>
      <protection locked="0"/>
    </xf>
    <xf numFmtId="179" fontId="59" fillId="0" borderId="0" xfId="68" quotePrefix="1" applyNumberFormat="1" applyFont="1" applyFill="1" applyAlignment="1">
      <alignment horizontal="right" vertical="center"/>
    </xf>
    <xf numFmtId="168" fontId="43" fillId="0" borderId="8" xfId="68" applyFont="1" applyBorder="1">
      <alignment vertical="center"/>
    </xf>
    <xf numFmtId="168" fontId="43" fillId="0" borderId="9" xfId="68" applyFont="1" applyBorder="1">
      <alignment vertical="center"/>
    </xf>
    <xf numFmtId="172" fontId="42" fillId="0" borderId="0" xfId="68" applyNumberFormat="1" applyFont="1" applyBorder="1">
      <alignment vertical="center"/>
    </xf>
    <xf numFmtId="172" fontId="63" fillId="0" borderId="0" xfId="68" applyNumberFormat="1" applyFont="1" applyBorder="1">
      <alignment vertical="center"/>
    </xf>
    <xf numFmtId="168" fontId="42" fillId="0" borderId="0" xfId="68" applyFont="1" applyFill="1">
      <alignment vertical="center"/>
    </xf>
    <xf numFmtId="168" fontId="42" fillId="0" borderId="2" xfId="68" applyFont="1" applyFill="1" applyBorder="1">
      <alignment vertical="center"/>
    </xf>
    <xf numFmtId="168" fontId="63" fillId="0" borderId="7" xfId="68" applyFont="1" applyBorder="1">
      <alignment vertical="center"/>
    </xf>
    <xf numFmtId="0" fontId="54" fillId="0" borderId="0" xfId="56" applyFont="1" applyFill="1">
      <alignment vertical="center"/>
    </xf>
    <xf numFmtId="0" fontId="9" fillId="0" borderId="0" xfId="105" applyFill="1">
      <alignment vertical="center"/>
    </xf>
    <xf numFmtId="0" fontId="43" fillId="0" borderId="0" xfId="72" applyFont="1" applyFill="1">
      <alignment vertical="center"/>
    </xf>
    <xf numFmtId="0" fontId="43" fillId="0" borderId="0" xfId="72" applyFont="1" applyFill="1" applyAlignment="1">
      <alignment horizontal="right" vertical="center"/>
    </xf>
    <xf numFmtId="0" fontId="9" fillId="0" borderId="0" xfId="89" applyFill="1">
      <alignment vertical="center"/>
    </xf>
    <xf numFmtId="168" fontId="9" fillId="0" borderId="0" xfId="91" applyFill="1">
      <alignment vertical="center"/>
    </xf>
    <xf numFmtId="168" fontId="29" fillId="0" borderId="6" xfId="91" applyFont="1" applyFill="1" applyBorder="1">
      <alignment vertical="center"/>
    </xf>
    <xf numFmtId="168" fontId="29" fillId="0" borderId="8" xfId="91" applyFont="1" applyFill="1" applyBorder="1">
      <alignment vertical="center"/>
    </xf>
    <xf numFmtId="0" fontId="29" fillId="0" borderId="0" xfId="88" applyFill="1">
      <alignment vertical="center"/>
    </xf>
    <xf numFmtId="168" fontId="29" fillId="0" borderId="9" xfId="91" applyFont="1" applyFill="1" applyBorder="1">
      <alignment vertical="center"/>
    </xf>
    <xf numFmtId="0" fontId="29" fillId="0" borderId="2" xfId="97" applyBorder="1">
      <alignment vertical="center"/>
    </xf>
    <xf numFmtId="0" fontId="43" fillId="0" borderId="2" xfId="72" applyFont="1" applyFill="1" applyBorder="1">
      <alignment vertical="center"/>
    </xf>
    <xf numFmtId="0" fontId="42" fillId="0" borderId="1" xfId="75" applyFont="1" applyAlignment="1">
      <alignment horizontal="center" vertical="center"/>
    </xf>
    <xf numFmtId="0" fontId="43" fillId="0" borderId="2" xfId="72" applyFont="1" applyBorder="1" applyAlignment="1">
      <alignment horizontal="right" vertical="center"/>
    </xf>
    <xf numFmtId="0" fontId="53" fillId="0" borderId="0" xfId="55" applyFont="1">
      <alignment vertical="center"/>
    </xf>
    <xf numFmtId="169" fontId="59" fillId="0" borderId="0" xfId="69" applyFont="1">
      <alignment vertical="center"/>
    </xf>
    <xf numFmtId="168" fontId="60" fillId="0" borderId="0" xfId="68" applyFont="1">
      <alignment vertical="center"/>
    </xf>
    <xf numFmtId="168" fontId="59" fillId="0" borderId="32" xfId="68" applyFont="1" applyBorder="1">
      <alignment vertical="center"/>
    </xf>
    <xf numFmtId="168" fontId="42" fillId="0" borderId="33" xfId="68" applyFont="1" applyBorder="1">
      <alignment vertical="center"/>
    </xf>
    <xf numFmtId="168" fontId="42" fillId="0" borderId="34" xfId="68" applyFont="1" applyBorder="1">
      <alignment vertical="center"/>
    </xf>
    <xf numFmtId="0" fontId="9" fillId="0" borderId="0" xfId="105" applyFill="1" applyBorder="1">
      <alignment vertical="center"/>
    </xf>
    <xf numFmtId="0" fontId="54" fillId="0" borderId="0" xfId="56" applyFont="1">
      <alignment vertical="center"/>
    </xf>
    <xf numFmtId="0" fontId="53" fillId="0" borderId="0" xfId="55" applyFont="1">
      <alignment vertical="center"/>
    </xf>
    <xf numFmtId="0" fontId="0" fillId="2" borderId="0" xfId="0" applyFill="1">
      <alignment vertical="center"/>
    </xf>
    <xf numFmtId="0" fontId="54" fillId="0" borderId="0" xfId="56" applyFont="1">
      <alignment vertical="center"/>
    </xf>
    <xf numFmtId="0" fontId="53" fillId="0" borderId="0" xfId="55" applyFont="1">
      <alignment vertical="center"/>
    </xf>
    <xf numFmtId="0" fontId="53" fillId="2" borderId="22" xfId="55" applyFont="1" applyFill="1" applyBorder="1" applyAlignment="1">
      <alignment horizontal="right" vertical="center"/>
    </xf>
    <xf numFmtId="0" fontId="54" fillId="2" borderId="0" xfId="56" applyFont="1" applyFill="1" applyAlignment="1">
      <alignment vertical="center" wrapText="1"/>
    </xf>
    <xf numFmtId="180" fontId="0" fillId="0" borderId="0" xfId="0" applyNumberFormat="1">
      <alignment vertical="center"/>
    </xf>
    <xf numFmtId="168" fontId="42" fillId="0" borderId="3" xfId="68" applyFont="1" applyFill="1" applyBorder="1">
      <alignment vertical="center"/>
    </xf>
    <xf numFmtId="168" fontId="59" fillId="0" borderId="0" xfId="68" applyFont="1" applyFill="1">
      <alignment vertical="center"/>
    </xf>
    <xf numFmtId="0" fontId="54" fillId="0" borderId="0" xfId="56" applyFont="1" applyAlignment="1">
      <alignment horizontal="left" vertical="center"/>
    </xf>
    <xf numFmtId="0" fontId="9" fillId="0" borderId="0" xfId="89">
      <alignment vertical="center"/>
    </xf>
    <xf numFmtId="0" fontId="40" fillId="0" borderId="0" xfId="55" applyFont="1" applyFill="1">
      <alignment vertical="center"/>
    </xf>
    <xf numFmtId="0" fontId="29" fillId="0" borderId="0" xfId="88">
      <alignment vertical="center"/>
    </xf>
    <xf numFmtId="0" fontId="73" fillId="0" borderId="0" xfId="89" applyFont="1" applyFill="1">
      <alignment vertical="center"/>
    </xf>
    <xf numFmtId="169" fontId="73" fillId="0" borderId="0" xfId="92" applyFont="1" applyFill="1" applyAlignment="1">
      <alignment horizontal="right" vertical="center"/>
    </xf>
    <xf numFmtId="0" fontId="0" fillId="2" borderId="0" xfId="0" applyFill="1">
      <alignment vertical="center"/>
    </xf>
    <xf numFmtId="0" fontId="54" fillId="0" borderId="0" xfId="56" applyFont="1" applyAlignment="1">
      <alignment horizontal="left" vertical="center"/>
    </xf>
    <xf numFmtId="0" fontId="53" fillId="0" borderId="0" xfId="55" applyFont="1" applyFill="1">
      <alignment vertical="center"/>
    </xf>
    <xf numFmtId="0" fontId="54" fillId="0" borderId="0" xfId="56" applyFont="1" applyFill="1">
      <alignment vertical="center"/>
    </xf>
    <xf numFmtId="0" fontId="54" fillId="0" borderId="0" xfId="56" applyFont="1" applyAlignment="1">
      <alignment horizontal="left" vertical="center"/>
    </xf>
    <xf numFmtId="0" fontId="54" fillId="0" borderId="0" xfId="56" applyFont="1" applyAlignment="1">
      <alignment horizontal="center" vertical="center"/>
    </xf>
    <xf numFmtId="0" fontId="62" fillId="0" borderId="0" xfId="56" applyFont="1" applyFill="1">
      <alignment vertical="center"/>
    </xf>
    <xf numFmtId="0" fontId="9" fillId="0" borderId="35" xfId="105" applyBorder="1">
      <alignment vertical="center"/>
    </xf>
    <xf numFmtId="0" fontId="9" fillId="0" borderId="36" xfId="105" applyBorder="1">
      <alignment vertical="center"/>
    </xf>
    <xf numFmtId="0" fontId="9" fillId="0" borderId="37" xfId="105" applyBorder="1">
      <alignment vertical="center"/>
    </xf>
    <xf numFmtId="0" fontId="9" fillId="0" borderId="38" xfId="105" applyBorder="1">
      <alignment vertical="center"/>
    </xf>
    <xf numFmtId="0" fontId="76" fillId="0" borderId="0" xfId="88" applyFont="1" applyBorder="1">
      <alignment vertical="center"/>
    </xf>
    <xf numFmtId="0" fontId="9" fillId="0" borderId="0" xfId="105" applyBorder="1">
      <alignment vertical="center"/>
    </xf>
    <xf numFmtId="0" fontId="9" fillId="0" borderId="39" xfId="105" applyBorder="1">
      <alignment vertical="center"/>
    </xf>
    <xf numFmtId="0" fontId="77" fillId="0" borderId="0" xfId="89" applyFont="1" applyBorder="1" applyAlignment="1">
      <alignment horizontal="center"/>
    </xf>
    <xf numFmtId="0" fontId="77" fillId="0" borderId="0" xfId="105" applyFont="1" applyBorder="1">
      <alignment vertical="center"/>
    </xf>
    <xf numFmtId="0" fontId="77" fillId="0" borderId="0" xfId="89" applyFont="1" applyBorder="1">
      <alignment vertical="center"/>
    </xf>
    <xf numFmtId="0" fontId="9" fillId="0" borderId="40" xfId="105" applyBorder="1">
      <alignment vertical="center"/>
    </xf>
    <xf numFmtId="0" fontId="9" fillId="0" borderId="41" xfId="105" applyBorder="1">
      <alignment vertical="center"/>
    </xf>
    <xf numFmtId="0" fontId="9" fillId="0" borderId="42" xfId="105" applyBorder="1">
      <alignment vertical="center"/>
    </xf>
    <xf numFmtId="0" fontId="78" fillId="0" borderId="44" xfId="105" applyFont="1" applyBorder="1">
      <alignment vertical="center"/>
    </xf>
    <xf numFmtId="0" fontId="78" fillId="0" borderId="45" xfId="105" applyFont="1" applyBorder="1">
      <alignment vertical="center"/>
    </xf>
    <xf numFmtId="0" fontId="78" fillId="0" borderId="46" xfId="105" applyFont="1" applyBorder="1">
      <alignment vertical="center"/>
    </xf>
    <xf numFmtId="0" fontId="78" fillId="0" borderId="47" xfId="105" applyFont="1" applyBorder="1">
      <alignment vertical="center"/>
    </xf>
    <xf numFmtId="0" fontId="79" fillId="0" borderId="0" xfId="88" applyFont="1" applyBorder="1">
      <alignment vertical="center"/>
    </xf>
    <xf numFmtId="0" fontId="78" fillId="0" borderId="0" xfId="105" applyFont="1" applyBorder="1">
      <alignment vertical="center"/>
    </xf>
    <xf numFmtId="0" fontId="78" fillId="0" borderId="48" xfId="105" applyFont="1" applyBorder="1">
      <alignment vertical="center"/>
    </xf>
    <xf numFmtId="0" fontId="78" fillId="0" borderId="0" xfId="89" applyFont="1" applyBorder="1" applyAlignment="1">
      <alignment horizontal="center"/>
    </xf>
    <xf numFmtId="0" fontId="78" fillId="0" borderId="0" xfId="89" applyFont="1" applyBorder="1">
      <alignment vertical="center"/>
    </xf>
    <xf numFmtId="0" fontId="78" fillId="0" borderId="49" xfId="105" applyFont="1" applyBorder="1">
      <alignment vertical="center"/>
    </xf>
    <xf numFmtId="0" fontId="78" fillId="0" borderId="43" xfId="105" applyFont="1" applyBorder="1">
      <alignment vertical="center"/>
    </xf>
    <xf numFmtId="0" fontId="78" fillId="0" borderId="50" xfId="105" applyFont="1" applyBorder="1">
      <alignment vertical="center"/>
    </xf>
    <xf numFmtId="0" fontId="56" fillId="0" borderId="0" xfId="53" applyFont="1" applyBorder="1" applyAlignment="1">
      <alignment horizontal="left" vertical="center"/>
    </xf>
    <xf numFmtId="0" fontId="56" fillId="0" borderId="0" xfId="53" applyFont="1" applyBorder="1" applyAlignment="1">
      <alignment horizontal="center" vertical="center"/>
    </xf>
    <xf numFmtId="0" fontId="56" fillId="3" borderId="0" xfId="53" applyFont="1" applyFill="1">
      <alignment vertical="center"/>
    </xf>
    <xf numFmtId="168" fontId="59" fillId="3" borderId="0" xfId="68" applyFont="1" applyFill="1">
      <alignment vertical="center"/>
    </xf>
    <xf numFmtId="0" fontId="54" fillId="3" borderId="0" xfId="56" applyFont="1" applyFill="1">
      <alignment vertical="center"/>
    </xf>
    <xf numFmtId="172" fontId="59" fillId="0" borderId="10" xfId="61" applyNumberFormat="1" applyFont="1">
      <alignment vertical="center"/>
      <protection locked="0"/>
    </xf>
    <xf numFmtId="176" fontId="43" fillId="2" borderId="4" xfId="68" applyNumberFormat="1" applyFont="1" applyFill="1" applyBorder="1" applyAlignment="1">
      <alignment horizontal="right" vertical="center"/>
    </xf>
    <xf numFmtId="172" fontId="42" fillId="2" borderId="0" xfId="68" applyNumberFormat="1" applyFont="1" applyFill="1">
      <alignment vertical="center"/>
    </xf>
    <xf numFmtId="0" fontId="53" fillId="2" borderId="0" xfId="55" quotePrefix="1" applyFont="1" applyFill="1">
      <alignment vertical="center"/>
    </xf>
    <xf numFmtId="169" fontId="59" fillId="0" borderId="19" xfId="62" applyFont="1" applyBorder="1">
      <alignment vertical="center"/>
      <protection locked="0"/>
    </xf>
    <xf numFmtId="172" fontId="80" fillId="0" borderId="0" xfId="68" applyNumberFormat="1" applyFont="1">
      <alignment vertical="center"/>
    </xf>
    <xf numFmtId="0" fontId="74" fillId="0" borderId="0" xfId="56" applyFont="1">
      <alignment vertical="center"/>
    </xf>
    <xf numFmtId="169" fontId="81" fillId="0" borderId="0" xfId="69" applyFont="1" applyAlignment="1">
      <alignment horizontal="right" vertical="center"/>
    </xf>
    <xf numFmtId="0" fontId="82" fillId="0" borderId="0" xfId="56" applyFont="1">
      <alignment vertical="center"/>
    </xf>
    <xf numFmtId="168" fontId="80" fillId="0" borderId="0" xfId="68" applyFont="1" applyBorder="1">
      <alignment vertical="center"/>
    </xf>
    <xf numFmtId="168" fontId="42" fillId="0" borderId="0" xfId="68" applyFont="1" applyBorder="1">
      <alignment vertical="center"/>
    </xf>
    <xf numFmtId="0" fontId="54" fillId="0" borderId="0" xfId="56" applyFont="1" applyBorder="1">
      <alignment vertical="center"/>
    </xf>
    <xf numFmtId="0" fontId="44" fillId="0" borderId="0" xfId="76">
      <alignment vertical="center"/>
    </xf>
    <xf numFmtId="0" fontId="83" fillId="0" borderId="1" xfId="65" applyFont="1" applyBorder="1" applyAlignment="1">
      <alignment horizontal="center" vertical="center"/>
      <protection locked="0"/>
    </xf>
    <xf numFmtId="0" fontId="44" fillId="0" borderId="0" xfId="76">
      <alignment vertical="center"/>
    </xf>
    <xf numFmtId="0" fontId="5" fillId="0" borderId="0" xfId="78" applyAlignment="1">
      <alignment horizontal="center" vertical="center"/>
    </xf>
    <xf numFmtId="0" fontId="44" fillId="0" borderId="0" xfId="76">
      <alignment vertical="center"/>
    </xf>
    <xf numFmtId="0" fontId="49" fillId="0" borderId="0" xfId="81">
      <alignment vertical="center"/>
    </xf>
    <xf numFmtId="0" fontId="49" fillId="0" borderId="0" xfId="82">
      <alignment vertical="center"/>
    </xf>
    <xf numFmtId="0" fontId="46" fillId="0" borderId="0" xfId="79">
      <alignment vertical="center"/>
    </xf>
    <xf numFmtId="0" fontId="48" fillId="0" borderId="0" xfId="80" applyAlignment="1">
      <alignment horizontal="right" vertical="center"/>
    </xf>
    <xf numFmtId="0" fontId="48" fillId="0" borderId="0" xfId="80">
      <alignment vertical="center"/>
    </xf>
    <xf numFmtId="0" fontId="49" fillId="0" borderId="0" xfId="81" quotePrefix="1" applyAlignment="1">
      <alignment horizontal="right" vertical="center"/>
    </xf>
    <xf numFmtId="173" fontId="46" fillId="0" borderId="0" xfId="79" applyNumberFormat="1" applyAlignment="1">
      <alignment horizontal="right" vertical="center"/>
    </xf>
    <xf numFmtId="0" fontId="78" fillId="0" borderId="0" xfId="105" applyFont="1" applyBorder="1" applyAlignment="1">
      <alignment vertical="center" wrapText="1"/>
    </xf>
    <xf numFmtId="0" fontId="9" fillId="0" borderId="36" xfId="105" applyBorder="1" applyAlignment="1">
      <alignment vertical="center"/>
    </xf>
    <xf numFmtId="0" fontId="9" fillId="0" borderId="0" xfId="105" applyBorder="1" applyAlignment="1">
      <alignment vertical="center"/>
    </xf>
    <xf numFmtId="0" fontId="9" fillId="0" borderId="36" xfId="105" applyBorder="1">
      <alignment vertical="center"/>
    </xf>
    <xf numFmtId="0" fontId="9" fillId="0" borderId="0" xfId="105" applyBorder="1">
      <alignment vertical="center"/>
    </xf>
    <xf numFmtId="0" fontId="12" fillId="0" borderId="0" xfId="98">
      <alignment vertical="center"/>
    </xf>
    <xf numFmtId="0" fontId="77" fillId="0" borderId="0" xfId="105" applyFont="1" applyBorder="1" applyAlignment="1">
      <alignment vertical="center" wrapText="1"/>
    </xf>
    <xf numFmtId="0" fontId="75" fillId="36" borderId="0" xfId="88" applyFont="1" applyFill="1" applyBorder="1" applyAlignment="1">
      <alignment horizontal="center" vertical="center"/>
    </xf>
    <xf numFmtId="0" fontId="75" fillId="36" borderId="43" xfId="88" applyFont="1" applyFill="1" applyBorder="1" applyAlignment="1">
      <alignment horizontal="center" vertical="center"/>
    </xf>
    <xf numFmtId="0" fontId="5" fillId="0" borderId="0" xfId="99" applyAlignment="1">
      <alignment horizontal="right" vertical="center"/>
    </xf>
    <xf numFmtId="0" fontId="5" fillId="0" borderId="0" xfId="99" applyAlignment="1">
      <alignment horizontal="left" vertical="center"/>
    </xf>
    <xf numFmtId="0" fontId="5" fillId="0" borderId="0" xfId="78" applyAlignment="1">
      <alignment horizontal="center" vertical="center"/>
    </xf>
    <xf numFmtId="0" fontId="75" fillId="38" borderId="0" xfId="88" applyFont="1" applyFill="1" applyAlignment="1">
      <alignment horizontal="center" vertical="center"/>
    </xf>
    <xf numFmtId="0" fontId="44" fillId="2" borderId="0" xfId="76" applyFill="1">
      <alignment vertical="center"/>
    </xf>
    <xf numFmtId="0" fontId="54" fillId="2" borderId="0" xfId="56" applyFont="1" applyFill="1" applyAlignment="1">
      <alignment horizontal="center" vertical="center"/>
    </xf>
    <xf numFmtId="0" fontId="41" fillId="2" borderId="0" xfId="56" applyFont="1" applyFill="1" applyAlignment="1">
      <alignment horizontal="center" vertical="center"/>
    </xf>
    <xf numFmtId="178" fontId="42" fillId="2" borderId="0" xfId="67" applyFont="1" applyFill="1" applyAlignment="1">
      <alignment horizontal="center" vertical="center"/>
    </xf>
    <xf numFmtId="178" fontId="59" fillId="0" borderId="18" xfId="60" applyFont="1" applyBorder="1" applyAlignment="1">
      <alignment horizontal="center" vertical="center"/>
      <protection locked="0"/>
    </xf>
    <xf numFmtId="178" fontId="59" fillId="0" borderId="19" xfId="60" applyFont="1" applyBorder="1" applyAlignment="1">
      <alignment horizontal="center" vertical="center"/>
      <protection locked="0"/>
    </xf>
    <xf numFmtId="172" fontId="59" fillId="2" borderId="20" xfId="68" applyNumberFormat="1" applyFont="1" applyFill="1" applyBorder="1" applyAlignment="1">
      <alignment horizontal="center" vertical="center"/>
    </xf>
    <xf numFmtId="0" fontId="62" fillId="2" borderId="0" xfId="56" applyFont="1" applyFill="1" applyAlignment="1">
      <alignment horizontal="center" vertical="center"/>
    </xf>
    <xf numFmtId="172" fontId="42" fillId="2" borderId="0" xfId="68" applyNumberFormat="1" applyFont="1" applyFill="1" applyAlignment="1">
      <alignment horizontal="center" vertical="center"/>
    </xf>
    <xf numFmtId="0" fontId="61" fillId="2" borderId="0" xfId="65" applyFont="1" applyFill="1" applyAlignment="1">
      <alignment horizontal="center" vertical="center"/>
      <protection locked="0"/>
    </xf>
    <xf numFmtId="0" fontId="59" fillId="2" borderId="0" xfId="65" applyFont="1" applyFill="1" applyAlignment="1">
      <alignment horizontal="center" vertical="center"/>
      <protection locked="0"/>
    </xf>
    <xf numFmtId="172" fontId="59" fillId="0" borderId="18" xfId="61" applyNumberFormat="1" applyFont="1" applyBorder="1" applyAlignment="1">
      <alignment horizontal="center" vertical="center"/>
      <protection locked="0"/>
    </xf>
    <xf numFmtId="172" fontId="59" fillId="0" borderId="19" xfId="61" applyNumberFormat="1" applyFont="1" applyBorder="1" applyAlignment="1">
      <alignment horizontal="center" vertical="center"/>
      <protection locked="0"/>
    </xf>
    <xf numFmtId="0" fontId="59" fillId="0" borderId="18" xfId="58" applyFont="1" applyBorder="1" applyAlignment="1">
      <alignment horizontal="center" vertical="center"/>
      <protection locked="0"/>
    </xf>
    <xf numFmtId="0" fontId="59" fillId="0" borderId="19" xfId="58" applyFont="1" applyBorder="1" applyAlignment="1">
      <alignment horizontal="center" vertical="center"/>
      <protection locked="0"/>
    </xf>
    <xf numFmtId="172" fontId="63" fillId="2" borderId="0" xfId="68" applyNumberFormat="1" applyFont="1" applyFill="1" applyAlignment="1">
      <alignment horizontal="center" vertical="center"/>
    </xf>
    <xf numFmtId="0" fontId="54" fillId="2" borderId="0" xfId="56" applyFont="1" applyFill="1" applyAlignment="1">
      <alignment vertical="center" wrapText="1"/>
    </xf>
    <xf numFmtId="0" fontId="72" fillId="35" borderId="23" xfId="87" applyFont="1" applyFill="1" applyBorder="1" applyAlignment="1">
      <alignment horizontal="center" vertical="center"/>
    </xf>
    <xf numFmtId="0" fontId="72" fillId="35" borderId="24" xfId="87" applyFont="1" applyFill="1" applyBorder="1" applyAlignment="1">
      <alignment horizontal="center" vertical="center"/>
    </xf>
    <xf numFmtId="0" fontId="72" fillId="35" borderId="25" xfId="87" applyFont="1" applyFill="1" applyBorder="1" applyAlignment="1">
      <alignment horizontal="center" vertical="center"/>
    </xf>
    <xf numFmtId="0" fontId="53" fillId="0" borderId="0" xfId="55" applyFont="1" applyBorder="1" applyAlignment="1">
      <alignment horizontal="center" vertical="center" wrapText="1"/>
    </xf>
    <xf numFmtId="0" fontId="53" fillId="0" borderId="2" xfId="55" applyFont="1" applyBorder="1" applyAlignment="1">
      <alignment horizontal="center" vertical="center" wrapText="1"/>
    </xf>
    <xf numFmtId="0" fontId="72" fillId="0" borderId="0" xfId="87" applyFont="1" applyFill="1" applyBorder="1" applyAlignment="1">
      <alignment horizontal="center" vertical="center"/>
    </xf>
    <xf numFmtId="0" fontId="72" fillId="36" borderId="26" xfId="87" applyFont="1" applyFill="1" applyBorder="1" applyAlignment="1">
      <alignment horizontal="center" vertical="center"/>
    </xf>
    <xf numFmtId="0" fontId="72" fillId="36" borderId="27" xfId="87" applyFont="1" applyFill="1" applyBorder="1" applyAlignment="1">
      <alignment horizontal="center" vertical="center"/>
    </xf>
    <xf numFmtId="0" fontId="72" fillId="36" borderId="28" xfId="87" applyFont="1" applyFill="1" applyBorder="1" applyAlignment="1">
      <alignment horizontal="center" vertical="center"/>
    </xf>
    <xf numFmtId="0" fontId="72" fillId="37" borderId="29" xfId="87" applyFont="1" applyFill="1" applyBorder="1" applyAlignment="1">
      <alignment horizontal="center" vertical="center"/>
    </xf>
    <xf numFmtId="0" fontId="72" fillId="37" borderId="30" xfId="87" applyFont="1" applyFill="1" applyBorder="1" applyAlignment="1">
      <alignment horizontal="center" vertical="center"/>
    </xf>
    <xf numFmtId="0" fontId="72" fillId="37" borderId="31" xfId="87" applyFont="1" applyFill="1" applyBorder="1" applyAlignment="1">
      <alignment horizontal="center" vertical="center"/>
    </xf>
  </cellXfs>
  <cellStyles count="106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Assumption Currency." xfId="64"/>
    <cellStyle name="Assumption Date." xfId="60"/>
    <cellStyle name="Assumption Heading." xfId="58"/>
    <cellStyle name="Assumption Multiple." xfId="63"/>
    <cellStyle name="Assumption Number." xfId="61"/>
    <cellStyle name="Assumption Percentage." xfId="62"/>
    <cellStyle name="Assumption Year." xfId="59"/>
    <cellStyle name="Bad" xfId="15" builtinId="27" hidden="1"/>
    <cellStyle name="Calculation" xfId="19" builtinId="22" hidden="1"/>
    <cellStyle name="Cell Link." xfId="65"/>
    <cellStyle name="Check Cell" xfId="21" builtinId="23" hidden="1"/>
    <cellStyle name="Comma" xfId="2" builtinId="3" hidden="1"/>
    <cellStyle name="Comma [0]" xfId="3" builtinId="6" hidden="1"/>
    <cellStyle name="Currency" xfId="4" builtinId="4" hidden="1"/>
    <cellStyle name="Currency [0]" xfId="5" builtinId="7" hidden="1"/>
    <cellStyle name="Currency." xfId="71"/>
    <cellStyle name="Date." xfId="67"/>
    <cellStyle name="Explanatory Text" xfId="24" builtinId="53" hidden="1"/>
    <cellStyle name="Followed Hyperlink" xfId="6" builtinId="9" hidden="1"/>
    <cellStyle name="Good" xfId="14" builtinId="26" hidden="1"/>
    <cellStyle name="Heading 1" xfId="7" builtinId="16" hidden="1" customBuiltin="1"/>
    <cellStyle name="Heading 1." xfId="53"/>
    <cellStyle name="Heading 2" xfId="8" builtinId="17" hidden="1" customBuiltin="1"/>
    <cellStyle name="Heading 2." xfId="54"/>
    <cellStyle name="Heading 3" xfId="9" builtinId="18" hidden="1" customBuiltin="1"/>
    <cellStyle name="Heading 3." xfId="55"/>
    <cellStyle name="Heading 4" xfId="10" builtinId="19" hidden="1" customBuiltin="1"/>
    <cellStyle name="Heading 4." xfId="56"/>
    <cellStyle name="Hyperlink" xfId="11" builtinId="8" hidden="1"/>
    <cellStyle name="Hyperlink" xfId="1" builtinId="8"/>
    <cellStyle name="Hyperlink Arrow." xfId="77"/>
    <cellStyle name="Hyperlink Check." xfId="78"/>
    <cellStyle name="Hyperlink Text." xfId="76"/>
    <cellStyle name="Hyperlink TOC 1." xfId="79"/>
    <cellStyle name="Hyperlink TOC 2." xfId="80"/>
    <cellStyle name="Hyperlink TOC 3." xfId="81"/>
    <cellStyle name="Hyperlink TOC 4." xfId="82"/>
    <cellStyle name="Input" xfId="17" builtinId="20" hidden="1"/>
    <cellStyle name="Linked Cell" xfId="20" builtinId="24" hidden="1"/>
    <cellStyle name="Lookup Table Heading." xfId="73"/>
    <cellStyle name="Lookup Table Label." xfId="75"/>
    <cellStyle name="Lookup Table Number." xfId="74"/>
    <cellStyle name="Model Name." xfId="52"/>
    <cellStyle name="Multiple." xfId="70"/>
    <cellStyle name="Neutral" xfId="16" builtinId="28" hidden="1"/>
    <cellStyle name="Normal" xfId="0" builtinId="0" customBuiltin="1"/>
    <cellStyle name="Note" xfId="23" builtinId="10" hidden="1"/>
    <cellStyle name="Number." xfId="68"/>
    <cellStyle name="Output" xfId="18" builtinId="21" hidden="1"/>
    <cellStyle name="Percent" xfId="12" builtinId="5" hidden="1"/>
    <cellStyle name="Percentage." xfId="69"/>
    <cellStyle name="Period Title." xfId="72"/>
    <cellStyle name="Presentation Currency." xfId="94"/>
    <cellStyle name="Presentation Date." xfId="96"/>
    <cellStyle name="Presentation Heading 1." xfId="86"/>
    <cellStyle name="Presentation Heading 2." xfId="87"/>
    <cellStyle name="Presentation Heading 3." xfId="88"/>
    <cellStyle name="Presentation Heading 4." xfId="89"/>
    <cellStyle name="Presentation Hyperlink Arrow." xfId="99"/>
    <cellStyle name="Presentation Hyperlink Check." xfId="100"/>
    <cellStyle name="Presentation Hyperlink Text." xfId="98"/>
    <cellStyle name="Presentation Model Name." xfId="85"/>
    <cellStyle name="Presentation Multiple." xfId="93"/>
    <cellStyle name="Presentation Normal." xfId="105"/>
    <cellStyle name="Presentation Number." xfId="91"/>
    <cellStyle name="Presentation Percentage." xfId="92"/>
    <cellStyle name="Presentation Period Title." xfId="97"/>
    <cellStyle name="Presentation Section Number." xfId="84"/>
    <cellStyle name="Presentation Sheet Title." xfId="83"/>
    <cellStyle name="Presentation Sub Total." xfId="90"/>
    <cellStyle name="Presentation TOC 1." xfId="101"/>
    <cellStyle name="Presentation TOC 2." xfId="102"/>
    <cellStyle name="Presentation TOC 3." xfId="103"/>
    <cellStyle name="Presentation TOC 4." xfId="104"/>
    <cellStyle name="Presentation Year." xfId="95"/>
    <cellStyle name="Section Number." xfId="51"/>
    <cellStyle name="Sheet Title." xfId="50"/>
    <cellStyle name="Sub Total." xfId="57"/>
    <cellStyle name="Title" xfId="13" builtinId="15" hidden="1"/>
    <cellStyle name="Total" xfId="25" builtinId="25" hidden="1"/>
    <cellStyle name="Warning Text" xfId="22" builtinId="11" hidden="1"/>
    <cellStyle name="Year." xfId="66"/>
  </cellStyles>
  <dxfs count="69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ndense val="0"/>
        <extend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ndense val="0"/>
        <extend val="0"/>
        <color indexed="63"/>
      </font>
      <fill>
        <patternFill patternType="solid">
          <bgColor indexed="18"/>
        </patternFill>
      </fill>
    </dxf>
    <dxf>
      <font>
        <b/>
        <i val="0"/>
        <condense val="0"/>
        <extend val="0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BS_Sum_P_MS!$AU$11</c:f>
          <c:strCache>
            <c:ptCount val="1"/>
            <c:pt idx="0">
              <c:v>Revenue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844793982062924"/>
          <c:y val="0.25496860643532054"/>
          <c:w val="0.83326464712119364"/>
          <c:h val="0.54123361826528682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BS_Sum_P_MS!$AQ$13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4F81BD"/>
            </a:solidFill>
            <a:ln>
              <a:solidFill>
                <a:schemeClr val="accent1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BS_Sum_P_MS!$AX$13:$BE$13</c:f>
              <c:numCache>
                <c:formatCode>_(#,##0_);\(#,##0\);_("-"_)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overlap val="100"/>
        <c:axId val="301070208"/>
        <c:axId val="294649856"/>
      </c:barChart>
      <c:catAx>
        <c:axId val="301070208"/>
        <c:scaling>
          <c:orientation val="minMax"/>
        </c:scaling>
        <c:axPos val="b"/>
        <c:tickLblPos val="nextTo"/>
        <c:crossAx val="294649856"/>
        <c:crosses val="autoZero"/>
        <c:auto val="1"/>
        <c:lblAlgn val="ctr"/>
        <c:lblOffset val="100"/>
      </c:catAx>
      <c:valAx>
        <c:axId val="294649856"/>
        <c:scaling>
          <c:orientation val="minMax"/>
        </c:scaling>
        <c:axPos val="l"/>
        <c:numFmt formatCode="_(#,##0_);\(#,##0\);_(&quot;-&quot;_)" sourceLinked="1"/>
        <c:tickLblPos val="nextTo"/>
        <c:crossAx val="301070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065392188222278"/>
          <c:y val="0.12310185185185241"/>
          <c:w val="0.41520106770631565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BS_Sum_P_MS!$AU$38</c:f>
          <c:strCache>
            <c:ptCount val="1"/>
            <c:pt idx="0">
              <c:v>Operating Expenditure - Committed vs. Discretionary - 2010 (F) 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spPr>
            <a:solidFill>
              <a:srgbClr val="9BBB59"/>
            </a:solidFill>
          </c:spPr>
          <c:dPt>
            <c:idx val="1"/>
            <c:spPr>
              <a:solidFill>
                <a:srgbClr val="9BBB59">
                  <a:alpha val="50000"/>
                </a:srgbClr>
              </a:solidFill>
              <a:ln>
                <a:solidFill>
                  <a:schemeClr val="accent3"/>
                </a:solidFill>
              </a:ln>
            </c:spPr>
          </c:dPt>
          <c:cat>
            <c:strRef>
              <c:f>BS_Sum_P_MS!$AQ$42:$AQ$43</c:f>
              <c:strCache>
                <c:ptCount val="2"/>
                <c:pt idx="0">
                  <c:v>Committed</c:v>
                </c:pt>
                <c:pt idx="1">
                  <c:v>Discretionary</c:v>
                </c:pt>
              </c:strCache>
            </c:strRef>
          </c:cat>
          <c:val>
            <c:numRef>
              <c:f>BS_Sum_P_MS!$AX$42:$AX$43</c:f>
              <c:numCache>
                <c:formatCode>_(#,##0.0_);\(#,##0.0\);_("-"_)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BS_Sum_P_MS!$AU$47</c:f>
          <c:strCache>
            <c:ptCount val="1"/>
            <c:pt idx="0">
              <c:v>Net Assets - 2010 (F) 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dPt>
            <c:idx val="1"/>
            <c:spPr>
              <a:noFill/>
            </c:spPr>
          </c:dPt>
          <c:cat>
            <c:strRef>
              <c:f>BS_Sum_P_MS!$AQ$53:$AQ$55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Net Assets</c:v>
                </c:pt>
              </c:strCache>
            </c:strRef>
          </c:cat>
          <c:val>
            <c:numRef>
              <c:f>BS_Sum_P_MS!$AZ$53:$AZ$55</c:f>
              <c:numCache>
                <c:formatCode>_(#,##0.0_);\(#,##0.0\);_("-"_)</c:formatCode>
                <c:ptCount val="3"/>
                <c:pt idx="0">
                  <c:v>0</c:v>
                </c:pt>
                <c:pt idx="1">
                  <c:v>118.72499999999999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BS_Sum_P_MS!$AQ$53:$AQ$55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Net Assets</c:v>
                </c:pt>
              </c:strCache>
            </c:strRef>
          </c:cat>
          <c:val>
            <c:numRef>
              <c:f>BS_Sum_P_MS!$BA$53:$BA$55</c:f>
              <c:numCache>
                <c:formatCode>_(#,##0.0_);\(#,##0.0\);_("-"_)</c:formatCode>
                <c:ptCount val="3"/>
                <c:pt idx="0">
                  <c:v>177.75</c:v>
                </c:pt>
                <c:pt idx="1">
                  <c:v>59.024999999999999</c:v>
                </c:pt>
                <c:pt idx="2">
                  <c:v>118.72499999999999</c:v>
                </c:pt>
              </c:numCache>
            </c:numRef>
          </c:val>
        </c:ser>
        <c:gapWidth val="25"/>
        <c:overlap val="100"/>
        <c:axId val="294785408"/>
        <c:axId val="294786944"/>
      </c:barChart>
      <c:catAx>
        <c:axId val="294785408"/>
        <c:scaling>
          <c:orientation val="minMax"/>
        </c:scaling>
        <c:axPos val="b"/>
        <c:tickLblPos val="nextTo"/>
        <c:crossAx val="294786944"/>
        <c:crosses val="autoZero"/>
        <c:auto val="1"/>
        <c:lblAlgn val="ctr"/>
        <c:lblOffset val="100"/>
      </c:catAx>
      <c:valAx>
        <c:axId val="294786944"/>
        <c:scaling>
          <c:orientation val="minMax"/>
        </c:scaling>
        <c:axPos val="l"/>
        <c:numFmt formatCode="_(#,##0.0_);\(#,##0.0\);_(&quot;-&quot;_)" sourceLinked="1"/>
        <c:tickLblPos val="nextTo"/>
        <c:crossAx val="294785408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BS_Sum_P_MS!$AU$29</c:f>
          <c:strCache>
            <c:ptCount val="1"/>
            <c:pt idx="0">
              <c:v>EBITDA Breakdown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544252863340766"/>
          <c:y val="0.28469234232750196"/>
          <c:w val="0.83627005830841761"/>
          <c:h val="0.52574923950406138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BS_Sum_P_MS!$AQ$31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BS_Sum_P_MS!$AX$31:$BE$31</c:f>
              <c:numCache>
                <c:formatCode>_(#,##0_);\(#,##0\);_("-"_)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BS_Sum_P_MS!$AQ$32</c:f>
              <c:strCache>
                <c:ptCount val="1"/>
                <c:pt idx="0">
                  <c:v>Cost of Goods Sold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BS_Sum_P_MS!$AX$32:$BE$32</c:f>
              <c:numCache>
                <c:formatCode>_(#,##0_);\(#,##0\);_("-"_)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BS_Sum_P_MS!$AQ$33</c:f>
              <c:strCache>
                <c:ptCount val="1"/>
                <c:pt idx="0">
                  <c:v>Operating Expenditure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BS_Sum_P_MS!$AX$33:$BE$33</c:f>
              <c:numCache>
                <c:formatCode>_(#,##0_);\(#,##0\);_("-"_)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overlap val="100"/>
        <c:axId val="294830080"/>
        <c:axId val="294831616"/>
      </c:barChart>
      <c:lineChart>
        <c:grouping val="standard"/>
        <c:ser>
          <c:idx val="6"/>
          <c:order val="3"/>
          <c:tx>
            <c:strRef>
              <c:f>BS_Sum_P_MS!$AQ$34</c:f>
              <c:strCache>
                <c:ptCount val="1"/>
                <c:pt idx="0">
                  <c:v>EBITDA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val>
            <c:numRef>
              <c:f>BS_Sum_P_MS!$AX$34:$BE$34</c:f>
              <c:numCache>
                <c:formatCode>_(#,##0_);\(#,##0\);_("-"_)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94830080"/>
        <c:axId val="294831616"/>
      </c:lineChart>
      <c:catAx>
        <c:axId val="294830080"/>
        <c:scaling>
          <c:orientation val="minMax"/>
        </c:scaling>
        <c:axPos val="b"/>
        <c:tickLblPos val="low"/>
        <c:crossAx val="294831616"/>
        <c:crosses val="autoZero"/>
        <c:auto val="1"/>
        <c:lblAlgn val="ctr"/>
        <c:lblOffset val="100"/>
      </c:catAx>
      <c:valAx>
        <c:axId val="294831616"/>
        <c:scaling>
          <c:orientation val="minMax"/>
        </c:scaling>
        <c:axPos val="l"/>
        <c:numFmt formatCode="_(#,##0_);\(#,##0\);_(&quot;-&quot;_)" sourceLinked="1"/>
        <c:tickLblPos val="nextTo"/>
        <c:crossAx val="2948300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304559789714636"/>
          <c:y val="0.12310185185185245"/>
          <c:w val="0.83569454120976772"/>
          <c:h val="0.13863626879276145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BS_Sum_P_MS!$AU$17</c:f>
          <c:strCache>
            <c:ptCount val="1"/>
            <c:pt idx="0">
              <c:v>Cost of Goods Sold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1313297459735661"/>
          <c:y val="0.27588255418585955"/>
          <c:w val="0.84857961234447088"/>
          <c:h val="0.5203196705147507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BS_Sum_P_MS!$AQ$19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accent2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BS_Sum_P_MS!$AX$19:$BE$19</c:f>
              <c:numCache>
                <c:formatCode>_(#,##0_);\(#,##0\);_("-"_)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overlap val="100"/>
        <c:axId val="294859904"/>
        <c:axId val="294861440"/>
      </c:barChart>
      <c:catAx>
        <c:axId val="294859904"/>
        <c:scaling>
          <c:orientation val="minMax"/>
        </c:scaling>
        <c:axPos val="b"/>
        <c:tickLblPos val="nextTo"/>
        <c:crossAx val="294861440"/>
        <c:crosses val="autoZero"/>
        <c:auto val="1"/>
        <c:lblAlgn val="ctr"/>
        <c:lblOffset val="100"/>
      </c:catAx>
      <c:valAx>
        <c:axId val="294861440"/>
        <c:scaling>
          <c:orientation val="minMax"/>
        </c:scaling>
        <c:axPos val="l"/>
        <c:numFmt formatCode="_(#,##0_);\(#,##0\);_(&quot;-&quot;_)" sourceLinked="1"/>
        <c:tickLblPos val="nextTo"/>
        <c:crossAx val="2948599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90783707168318"/>
          <c:y val="0.12310185185185245"/>
          <c:w val="0.5798369438564831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BS_Sum_P_MS!$AU$23</c:f>
          <c:strCache>
            <c:ptCount val="1"/>
            <c:pt idx="0">
              <c:v>Operating Expenditure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844793982062933"/>
          <c:y val="0.25496860643532054"/>
          <c:w val="0.83326464712119364"/>
          <c:h val="0.54123361826528682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BS_Sum_P_MS!$AQ$25</c:f>
              <c:strCache>
                <c:ptCount val="1"/>
                <c:pt idx="0">
                  <c:v>Operating Expenditure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BS_Sum_P_MS!$AX$25:$BE$25</c:f>
              <c:numCache>
                <c:formatCode>_(#,##0_);\(#,##0\);_("-"_)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overlap val="100"/>
        <c:axId val="294930688"/>
        <c:axId val="294932480"/>
      </c:barChart>
      <c:catAx>
        <c:axId val="294930688"/>
        <c:scaling>
          <c:orientation val="minMax"/>
        </c:scaling>
        <c:axPos val="b"/>
        <c:tickLblPos val="nextTo"/>
        <c:crossAx val="294932480"/>
        <c:crosses val="autoZero"/>
        <c:auto val="1"/>
        <c:lblAlgn val="ctr"/>
        <c:lblOffset val="100"/>
      </c:catAx>
      <c:valAx>
        <c:axId val="294932480"/>
        <c:scaling>
          <c:orientation val="minMax"/>
        </c:scaling>
        <c:axPos val="l"/>
        <c:numFmt formatCode="_(#,##0_);\(#,##0\);_(&quot;-&quot;_)" sourceLinked="1"/>
        <c:tickLblPos val="nextTo"/>
        <c:crossAx val="2949306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0259287184841079"/>
          <c:y val="0.12310185185185245"/>
          <c:w val="0.62578183952630173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41</xdr:col>
      <xdr:colOff>126</xdr:colOff>
      <xdr:row>17</xdr:row>
      <xdr:rowOff>127</xdr:rowOff>
    </xdr:to>
    <xdr:sp macro="" textlink="">
      <xdr:nvSpPr>
        <xdr:cNvPr id="2" name="Rectangle 1"/>
        <xdr:cNvSpPr/>
      </xdr:nvSpPr>
      <xdr:spPr>
        <a:xfrm>
          <a:off x="2886075" y="9810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41</xdr:col>
      <xdr:colOff>126</xdr:colOff>
      <xdr:row>30</xdr:row>
      <xdr:rowOff>127</xdr:rowOff>
    </xdr:to>
    <xdr:sp macro="" textlink="">
      <xdr:nvSpPr>
        <xdr:cNvPr id="3" name="Rectangle 2"/>
        <xdr:cNvSpPr/>
      </xdr:nvSpPr>
      <xdr:spPr>
        <a:xfrm>
          <a:off x="2886075" y="31146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30</xdr:col>
      <xdr:colOff>132620</xdr:colOff>
      <xdr:row>17</xdr:row>
      <xdr:rowOff>921</xdr:rowOff>
    </xdr:from>
    <xdr:to>
      <xdr:col>31</xdr:col>
      <xdr:colOff>858</xdr:colOff>
      <xdr:row>21</xdr:row>
      <xdr:rowOff>794</xdr:rowOff>
    </xdr:to>
    <xdr:cxnSp macro="">
      <xdr:nvCxnSpPr>
        <xdr:cNvPr id="4" name="Straight Arrow Connector 3"/>
        <xdr:cNvCxnSpPr>
          <a:stCxn id="3" idx="0"/>
          <a:endCxn id="2" idx="2"/>
        </xdr:cNvCxnSpPr>
      </xdr:nvCxnSpPr>
      <xdr:spPr>
        <a:xfrm rot="5400000" flipH="1" flipV="1">
          <a:off x="3953002" y="2714689"/>
          <a:ext cx="533273" cy="158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</xdr:colOff>
      <xdr:row>6</xdr:row>
      <xdr:rowOff>127</xdr:rowOff>
    </xdr:from>
    <xdr:to>
      <xdr:col>33</xdr:col>
      <xdr:colOff>535844</xdr:colOff>
      <xdr:row>24</xdr:row>
      <xdr:rowOff>253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128</xdr:colOff>
      <xdr:row>45</xdr:row>
      <xdr:rowOff>127</xdr:rowOff>
    </xdr:from>
    <xdr:to>
      <xdr:col>33</xdr:col>
      <xdr:colOff>535845</xdr:colOff>
      <xdr:row>63</xdr:row>
      <xdr:rowOff>253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64644</xdr:colOff>
      <xdr:row>45</xdr:row>
      <xdr:rowOff>127</xdr:rowOff>
    </xdr:from>
    <xdr:to>
      <xdr:col>39</xdr:col>
      <xdr:colOff>286</xdr:colOff>
      <xdr:row>63</xdr:row>
      <xdr:rowOff>253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64358</xdr:colOff>
      <xdr:row>26</xdr:row>
      <xdr:rowOff>0</xdr:rowOff>
    </xdr:from>
    <xdr:to>
      <xdr:col>39</xdr:col>
      <xdr:colOff>0</xdr:colOff>
      <xdr:row>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64358</xdr:colOff>
      <xdr:row>5</xdr:row>
      <xdr:rowOff>133224</xdr:rowOff>
    </xdr:from>
    <xdr:to>
      <xdr:col>39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33</xdr:col>
      <xdr:colOff>535717</xdr:colOff>
      <xdr:row>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Relationship Id="rId4" Type="http://schemas.openxmlformats.org/officeDocument/2006/relationships/vmlDrawing" Target="../drawings/vmlDrawing2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2:M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2" spans="3:7" s="13" customFormat="1"/>
    <row r="3" spans="3:7" s="13" customFormat="1"/>
    <row r="4" spans="3:7" s="13" customFormat="1"/>
    <row r="5" spans="3:7" s="13" customFormat="1"/>
    <row r="6" spans="3:7" s="13" customFormat="1"/>
    <row r="7" spans="3:7" s="13" customFormat="1"/>
    <row r="9" spans="3:7" ht="18">
      <c r="C9" s="1" t="s">
        <v>324</v>
      </c>
    </row>
    <row r="10" spans="3:7" ht="15">
      <c r="C10" s="3" t="str">
        <f>"SMA 13. Multiple Workbooks - Practical Training Exercise 1"&amp;Err_Chks_Msg&amp;Sens_Chks_Msg&amp;Alt_Chks_Msg</f>
        <v>SMA 13. Multiple Workbooks - Practical Training Exercise 1 (Alert in Ordinary Equity - Outputs)</v>
      </c>
    </row>
    <row r="11" spans="3:7">
      <c r="C11" s="230" t="s">
        <v>48</v>
      </c>
      <c r="D11" s="230"/>
      <c r="E11" s="230"/>
      <c r="F11" s="230"/>
      <c r="G11" s="230"/>
    </row>
    <row r="19" spans="3:13">
      <c r="C19" s="22" t="s">
        <v>193</v>
      </c>
    </row>
    <row r="21" spans="3:13">
      <c r="C21" s="22" t="s">
        <v>325</v>
      </c>
    </row>
    <row r="22" spans="3:13">
      <c r="C22" s="182" t="s">
        <v>117</v>
      </c>
      <c r="D22" s="164" t="s">
        <v>406</v>
      </c>
      <c r="K22" s="13"/>
    </row>
    <row r="23" spans="3:13">
      <c r="C23" s="182" t="s">
        <v>117</v>
      </c>
      <c r="D23" s="164" t="s">
        <v>409</v>
      </c>
    </row>
    <row r="24" spans="3:13" s="13" customFormat="1">
      <c r="C24" s="182" t="s">
        <v>117</v>
      </c>
      <c r="D24" s="164" t="s">
        <v>421</v>
      </c>
      <c r="E24" s="5"/>
      <c r="F24" s="5"/>
      <c r="G24" s="5"/>
      <c r="H24" s="5"/>
      <c r="I24" s="5"/>
      <c r="J24" s="5"/>
      <c r="K24" s="5"/>
      <c r="L24" s="5"/>
      <c r="M24" s="5"/>
    </row>
  </sheetData>
  <mergeCells count="1">
    <mergeCell ref="C11:G11"/>
  </mergeCells>
  <hyperlinks>
    <hyperlink ref="D24:M24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Q119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style="17" customWidth="1"/>
    <col min="6" max="254" width="11.83203125" style="17" customWidth="1"/>
    <col min="255" max="16384" width="9.33203125" style="17"/>
  </cols>
  <sheetData>
    <row r="1" spans="1:17" ht="18">
      <c r="B1" s="36" t="s">
        <v>264</v>
      </c>
    </row>
    <row r="2" spans="1:17" ht="15">
      <c r="B2" s="35" t="str">
        <f>Model_Name</f>
        <v>SMA 13. Multiple Workbooks - Practical Training Exercise 1 (Alert in Ordinary Equity - Outputs)</v>
      </c>
    </row>
    <row r="3" spans="1:17">
      <c r="B3" s="251" t="s">
        <v>48</v>
      </c>
      <c r="C3" s="251"/>
      <c r="D3" s="251"/>
      <c r="E3" s="251"/>
      <c r="F3" s="251"/>
    </row>
    <row r="4" spans="1:17" ht="12.75">
      <c r="A4" s="37" t="s">
        <v>51</v>
      </c>
      <c r="B4" s="38" t="s">
        <v>53</v>
      </c>
      <c r="C4" s="39" t="s">
        <v>102</v>
      </c>
      <c r="D4" s="76" t="s">
        <v>120</v>
      </c>
      <c r="E4" s="76" t="s">
        <v>121</v>
      </c>
      <c r="F4" s="40" t="s">
        <v>122</v>
      </c>
    </row>
    <row r="6" spans="1:17">
      <c r="B6" s="48" t="str">
        <f>IF(TS_Pers_In_Yr=1,"",TS_Per_Type_Name&amp;" Ending")</f>
        <v/>
      </c>
      <c r="J6" s="49" t="str">
        <f t="shared" ref="J6:Q6" si="0">IF(TS_Pers_In_Yr=1,"",LEFT(INDEX(LU_Mth_Names,MONTH(J9)),3)&amp;"-"&amp;RIGHT(YEAR(J9),2))&amp;" "</f>
        <v xml:space="preserve"> </v>
      </c>
      <c r="K6" s="49" t="str">
        <f t="shared" si="0"/>
        <v xml:space="preserve"> </v>
      </c>
      <c r="L6" s="49" t="str">
        <f t="shared" si="0"/>
        <v xml:space="preserve"> </v>
      </c>
      <c r="M6" s="49" t="str">
        <f t="shared" si="0"/>
        <v xml:space="preserve"> </v>
      </c>
      <c r="N6" s="49" t="str">
        <f t="shared" si="0"/>
        <v xml:space="preserve"> </v>
      </c>
      <c r="O6" s="49" t="str">
        <f t="shared" si="0"/>
        <v xml:space="preserve"> </v>
      </c>
      <c r="P6" s="49" t="str">
        <f t="shared" si="0"/>
        <v xml:space="preserve"> </v>
      </c>
      <c r="Q6" s="49" t="str">
        <f t="shared" si="0"/>
        <v xml:space="preserve"> </v>
      </c>
    </row>
    <row r="7" spans="1:17">
      <c r="B7" s="54" t="str">
        <f>IF(TS_Pers_In_Yr=1,Yr_Name&amp;" Ending "&amp;DAY(TS_Per_1_End_Date)&amp;" "&amp;INDEX(LU_Mth_Names,DD_TS_Fin_YE_Mth),TS_Per_Type_Name)</f>
        <v>Year Ending 31 December</v>
      </c>
      <c r="C7" s="19"/>
      <c r="D7" s="19"/>
      <c r="E7" s="19"/>
      <c r="F7" s="19"/>
      <c r="G7" s="19"/>
      <c r="H7" s="19"/>
      <c r="I7" s="19"/>
      <c r="J7" s="55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55" t="str">
        <f t="shared" si="1"/>
        <v xml:space="preserve">2011 (F) </v>
      </c>
      <c r="L7" s="55" t="str">
        <f t="shared" si="1"/>
        <v xml:space="preserve">2012 (F) </v>
      </c>
      <c r="M7" s="55" t="str">
        <f t="shared" si="1"/>
        <v xml:space="preserve">2013 (F) </v>
      </c>
      <c r="N7" s="55" t="str">
        <f t="shared" si="1"/>
        <v xml:space="preserve">2014 (F) </v>
      </c>
      <c r="O7" s="55" t="str">
        <f t="shared" si="1"/>
        <v xml:space="preserve">2015 (F) </v>
      </c>
      <c r="P7" s="55" t="str">
        <f t="shared" si="1"/>
        <v xml:space="preserve">2016 (F) </v>
      </c>
      <c r="Q7" s="55" t="str">
        <f t="shared" si="1"/>
        <v xml:space="preserve">2017 (F) </v>
      </c>
    </row>
    <row r="8" spans="1:17" hidden="1" outlineLevel="2">
      <c r="B8" s="43" t="s">
        <v>125</v>
      </c>
      <c r="J8" s="50">
        <f t="shared" ref="J8:Q8" si="2">IF(J12=1,TS_Start_Date,I9+1)</f>
        <v>40179</v>
      </c>
      <c r="K8" s="50">
        <f t="shared" si="2"/>
        <v>40544</v>
      </c>
      <c r="L8" s="50">
        <f t="shared" si="2"/>
        <v>40909</v>
      </c>
      <c r="M8" s="50">
        <f t="shared" si="2"/>
        <v>41275</v>
      </c>
      <c r="N8" s="50">
        <f t="shared" si="2"/>
        <v>41640</v>
      </c>
      <c r="O8" s="50">
        <f t="shared" si="2"/>
        <v>42005</v>
      </c>
      <c r="P8" s="50">
        <f t="shared" si="2"/>
        <v>42370</v>
      </c>
      <c r="Q8" s="50">
        <f t="shared" si="2"/>
        <v>42736</v>
      </c>
    </row>
    <row r="9" spans="1:17" hidden="1" outlineLevel="2">
      <c r="B9" s="43" t="s">
        <v>126</v>
      </c>
      <c r="J9" s="50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50">
        <f t="shared" si="3"/>
        <v>40908</v>
      </c>
      <c r="L9" s="50">
        <f t="shared" si="3"/>
        <v>41274</v>
      </c>
      <c r="M9" s="50">
        <f t="shared" si="3"/>
        <v>41639</v>
      </c>
      <c r="N9" s="50">
        <f t="shared" si="3"/>
        <v>42004</v>
      </c>
      <c r="O9" s="50">
        <f t="shared" si="3"/>
        <v>42369</v>
      </c>
      <c r="P9" s="50">
        <f t="shared" si="3"/>
        <v>42735</v>
      </c>
      <c r="Q9" s="50">
        <f t="shared" si="3"/>
        <v>43100</v>
      </c>
    </row>
    <row r="10" spans="1:17" hidden="1" outlineLevel="2">
      <c r="B10" s="43" t="s">
        <v>123</v>
      </c>
      <c r="J10" s="51">
        <f t="shared" ref="J10:Q10" si="4">YEAR(TS_Per_1_FY_End_Date)+INT((TS_Per_1_Number+J12-2)/TS_Pers_In_Yr)</f>
        <v>2010</v>
      </c>
      <c r="K10" s="51">
        <f t="shared" si="4"/>
        <v>2011</v>
      </c>
      <c r="L10" s="51">
        <f t="shared" si="4"/>
        <v>2012</v>
      </c>
      <c r="M10" s="51">
        <f t="shared" si="4"/>
        <v>2013</v>
      </c>
      <c r="N10" s="51">
        <f t="shared" si="4"/>
        <v>2014</v>
      </c>
      <c r="O10" s="51">
        <f t="shared" si="4"/>
        <v>2015</v>
      </c>
      <c r="P10" s="51">
        <f t="shared" si="4"/>
        <v>2016</v>
      </c>
      <c r="Q10" s="51">
        <f t="shared" si="4"/>
        <v>2017</v>
      </c>
    </row>
    <row r="11" spans="1:17" hidden="1" outlineLevel="2">
      <c r="B11" s="43" t="s">
        <v>124</v>
      </c>
      <c r="J11" s="52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52" t="str">
        <f t="shared" si="5"/>
        <v xml:space="preserve">Year </v>
      </c>
      <c r="L11" s="52" t="str">
        <f t="shared" si="5"/>
        <v xml:space="preserve">Year </v>
      </c>
      <c r="M11" s="52" t="str">
        <f t="shared" si="5"/>
        <v xml:space="preserve">Year </v>
      </c>
      <c r="N11" s="52" t="str">
        <f t="shared" si="5"/>
        <v xml:space="preserve">Year </v>
      </c>
      <c r="O11" s="52" t="str">
        <f t="shared" si="5"/>
        <v xml:space="preserve">Year </v>
      </c>
      <c r="P11" s="52" t="str">
        <f t="shared" si="5"/>
        <v xml:space="preserve">Year </v>
      </c>
      <c r="Q11" s="52" t="str">
        <f t="shared" si="5"/>
        <v xml:space="preserve">Year </v>
      </c>
    </row>
    <row r="12" spans="1:17" hidden="1" outlineLevel="2">
      <c r="B12" s="43" t="s">
        <v>127</v>
      </c>
      <c r="J12" s="53">
        <f>COLUMN(J12)-COLUMN($J12)+1</f>
        <v>1</v>
      </c>
      <c r="K12" s="53">
        <f t="shared" ref="K12:Q12" si="6">COLUMN(K12)-COLUMN($J12)+1</f>
        <v>2</v>
      </c>
      <c r="L12" s="53">
        <f t="shared" si="6"/>
        <v>3</v>
      </c>
      <c r="M12" s="53">
        <f t="shared" si="6"/>
        <v>4</v>
      </c>
      <c r="N12" s="53">
        <f t="shared" si="6"/>
        <v>5</v>
      </c>
      <c r="O12" s="53">
        <f t="shared" si="6"/>
        <v>6</v>
      </c>
      <c r="P12" s="53">
        <f t="shared" si="6"/>
        <v>7</v>
      </c>
      <c r="Q12" s="53">
        <f t="shared" si="6"/>
        <v>8</v>
      </c>
    </row>
    <row r="13" spans="1:17" hidden="1" outlineLevel="2">
      <c r="B13" s="56" t="s">
        <v>256</v>
      </c>
      <c r="C13" s="19"/>
      <c r="D13" s="19"/>
      <c r="E13" s="19"/>
      <c r="F13" s="19"/>
      <c r="G13" s="19"/>
      <c r="H13" s="19"/>
      <c r="I13" s="19"/>
      <c r="J13" s="57" t="str">
        <f>J10&amp;"-"&amp;J11</f>
        <v xml:space="preserve">2010-Year </v>
      </c>
      <c r="K13" s="57" t="str">
        <f t="shared" ref="K13:Q13" si="7">K10&amp;"-"&amp;K11</f>
        <v xml:space="preserve">2011-Year </v>
      </c>
      <c r="L13" s="57" t="str">
        <f t="shared" si="7"/>
        <v xml:space="preserve">2012-Year </v>
      </c>
      <c r="M13" s="57" t="str">
        <f t="shared" si="7"/>
        <v xml:space="preserve">2013-Year </v>
      </c>
      <c r="N13" s="57" t="str">
        <f t="shared" si="7"/>
        <v xml:space="preserve">2014-Year </v>
      </c>
      <c r="O13" s="57" t="str">
        <f t="shared" si="7"/>
        <v xml:space="preserve">2015-Year </v>
      </c>
      <c r="P13" s="57" t="str">
        <f t="shared" si="7"/>
        <v xml:space="preserve">2016-Year </v>
      </c>
      <c r="Q13" s="57" t="str">
        <f t="shared" si="7"/>
        <v xml:space="preserve">2017-Year </v>
      </c>
    </row>
    <row r="14" spans="1:17" collapsed="1"/>
    <row r="16" spans="1:17" s="177" customFormat="1" ht="12.75">
      <c r="B16" s="111" t="s">
        <v>410</v>
      </c>
    </row>
    <row r="17" spans="2:17" s="177" customFormat="1" ht="11.25" thickBot="1">
      <c r="I17" s="166" t="s">
        <v>329</v>
      </c>
      <c r="J17" s="59" t="s">
        <v>411</v>
      </c>
    </row>
    <row r="18" spans="2:17" s="177" customFormat="1">
      <c r="C18" s="62" t="s">
        <v>197</v>
      </c>
      <c r="I18" s="61">
        <v>21</v>
      </c>
      <c r="J18" s="214">
        <v>30</v>
      </c>
      <c r="K18" s="214">
        <v>30</v>
      </c>
      <c r="L18" s="214">
        <v>30</v>
      </c>
      <c r="M18" s="214">
        <v>30</v>
      </c>
      <c r="N18" s="214">
        <v>30</v>
      </c>
      <c r="O18" s="214">
        <v>30</v>
      </c>
      <c r="P18" s="214">
        <v>30</v>
      </c>
      <c r="Q18" s="214">
        <v>30</v>
      </c>
    </row>
    <row r="19" spans="2:17" s="177" customFormat="1">
      <c r="C19" s="62" t="s">
        <v>198</v>
      </c>
      <c r="I19" s="61">
        <v>16</v>
      </c>
      <c r="J19" s="214">
        <v>45</v>
      </c>
      <c r="K19" s="214">
        <v>45</v>
      </c>
      <c r="L19" s="214">
        <v>45</v>
      </c>
      <c r="M19" s="214">
        <v>45</v>
      </c>
      <c r="N19" s="214">
        <v>45</v>
      </c>
      <c r="O19" s="214">
        <v>45</v>
      </c>
      <c r="P19" s="214">
        <v>45</v>
      </c>
      <c r="Q19" s="214">
        <v>45</v>
      </c>
    </row>
    <row r="20" spans="2:17" s="177" customFormat="1"/>
    <row r="21" spans="2:17" s="177" customFormat="1">
      <c r="C21" s="62" t="s">
        <v>412</v>
      </c>
      <c r="I21" s="215">
        <f>IF(ISERROR(SUM(J21:Q21)),1,MIN(SUM(J21:Q21),1))</f>
        <v>0</v>
      </c>
      <c r="J21" s="216">
        <f>IF(ISERROR(SUM(J18:J19)),1,IF(MAX(J18:J19)&gt;Fcast_TA!J$9-Fcast_TA!J$8+1,1,0))</f>
        <v>0</v>
      </c>
      <c r="K21" s="216">
        <f>IF(ISERROR(SUM(K18:K19)),1,IF(MAX(K18:K19)&gt;Fcast_TA!K$9-Fcast_TA!K$8+1,1,0))</f>
        <v>0</v>
      </c>
      <c r="L21" s="216">
        <f>IF(ISERROR(SUM(L18:L19)),1,IF(MAX(L18:L19)&gt;Fcast_TA!L$9-Fcast_TA!L$8+1,1,0))</f>
        <v>0</v>
      </c>
      <c r="M21" s="216">
        <f>IF(ISERROR(SUM(M18:M19)),1,IF(MAX(M18:M19)&gt;Fcast_TA!M$9-Fcast_TA!M$8+1,1,0))</f>
        <v>0</v>
      </c>
      <c r="N21" s="216">
        <f>IF(ISERROR(SUM(N18:N19)),1,IF(MAX(N18:N19)&gt;Fcast_TA!N$9-Fcast_TA!N$8+1,1,0))</f>
        <v>0</v>
      </c>
      <c r="O21" s="216">
        <f>IF(ISERROR(SUM(O18:O19)),1,IF(MAX(O18:O19)&gt;Fcast_TA!O$9-Fcast_TA!O$8+1,1,0))</f>
        <v>0</v>
      </c>
      <c r="P21" s="216">
        <f>IF(ISERROR(SUM(P18:P19)),1,IF(MAX(P18:P19)&gt;Fcast_TA!P$9-Fcast_TA!P$8+1,1,0))</f>
        <v>0</v>
      </c>
      <c r="Q21" s="216">
        <f>IF(ISERROR(SUM(Q18:Q19)),1,IF(MAX(Q18:Q19)&gt;Fcast_TA!Q$9-Fcast_TA!Q$8+1,1,0))</f>
        <v>0</v>
      </c>
    </row>
    <row r="22" spans="2:17" s="177" customFormat="1"/>
    <row r="23" spans="2:17" s="177" customFormat="1">
      <c r="C23" s="59" t="s">
        <v>118</v>
      </c>
    </row>
    <row r="24" spans="2:17" s="177" customFormat="1">
      <c r="C24" s="78">
        <v>1</v>
      </c>
      <c r="D24" s="124" t="str">
        <f>"Opening balance assumptions are specified in "&amp;INDEX(LU_Denom,DD_TS_Denom)&amp;"."</f>
        <v>Opening balance assumptions are specified in $Millions.</v>
      </c>
    </row>
    <row r="25" spans="2:17" s="177" customFormat="1">
      <c r="C25" s="78">
        <v>2</v>
      </c>
      <c r="D25" s="62" t="s">
        <v>413</v>
      </c>
    </row>
    <row r="26" spans="2:17" s="177" customFormat="1"/>
    <row r="27" spans="2:17" s="177" customFormat="1"/>
    <row r="28" spans="2:17" s="177" customFormat="1" ht="12.75">
      <c r="B28" s="111" t="s">
        <v>414</v>
      </c>
    </row>
    <row r="29" spans="2:17" s="177" customFormat="1" ht="11.25" thickBot="1">
      <c r="I29" s="166" t="s">
        <v>329</v>
      </c>
      <c r="J29" s="217" t="s">
        <v>415</v>
      </c>
    </row>
    <row r="30" spans="2:17" s="177" customFormat="1">
      <c r="C30" s="62" t="s">
        <v>321</v>
      </c>
      <c r="I30" s="61">
        <v>145</v>
      </c>
      <c r="J30" s="218">
        <v>0.9</v>
      </c>
      <c r="K30" s="60">
        <v>0.9</v>
      </c>
      <c r="L30" s="60">
        <v>0.9</v>
      </c>
      <c r="M30" s="60">
        <v>0.9</v>
      </c>
      <c r="N30" s="60">
        <v>0.9</v>
      </c>
      <c r="O30" s="60">
        <v>0.9</v>
      </c>
      <c r="P30" s="60">
        <v>0.9</v>
      </c>
      <c r="Q30" s="60">
        <v>0.9</v>
      </c>
    </row>
    <row r="31" spans="2:17" s="177" customFormat="1">
      <c r="C31" s="62" t="s">
        <v>416</v>
      </c>
      <c r="I31" s="61">
        <v>11.5</v>
      </c>
      <c r="J31" s="218">
        <v>0.25</v>
      </c>
      <c r="K31" s="218">
        <v>0.25</v>
      </c>
      <c r="L31" s="218">
        <v>0.25</v>
      </c>
      <c r="M31" s="218">
        <v>0.25</v>
      </c>
      <c r="N31" s="218">
        <v>0.25</v>
      </c>
      <c r="O31" s="218">
        <v>0.25</v>
      </c>
      <c r="P31" s="218">
        <v>0.25</v>
      </c>
      <c r="Q31" s="218">
        <v>0.25</v>
      </c>
    </row>
    <row r="32" spans="2:17" s="177" customFormat="1"/>
    <row r="33" spans="2:17" s="177" customFormat="1">
      <c r="C33" s="59" t="s">
        <v>118</v>
      </c>
    </row>
    <row r="34" spans="2:17" s="177" customFormat="1">
      <c r="C34" s="78">
        <v>1</v>
      </c>
      <c r="D34" s="124" t="str">
        <f>"Opening balance assumptions are specified in "&amp;INDEX(LU_Denom,DD_TS_Denom)&amp;"."</f>
        <v>Opening balance assumptions are specified in $Millions.</v>
      </c>
    </row>
    <row r="35" spans="2:17" s="177" customFormat="1"/>
    <row r="36" spans="2:17" s="177" customFormat="1"/>
    <row r="37" spans="2:17" ht="12.75">
      <c r="B37" s="111" t="s">
        <v>269</v>
      </c>
    </row>
    <row r="39" spans="2:17" s="163" customFormat="1" ht="11.25">
      <c r="C39" s="58" t="s">
        <v>277</v>
      </c>
    </row>
    <row r="40" spans="2:17" s="163" customFormat="1"/>
    <row r="41" spans="2:17" s="16" customFormat="1">
      <c r="D41" s="128" t="str">
        <f>"Funds Drawn ("&amp;INDEX(LU_Denom,DD_TS_Denom)&amp;")"</f>
        <v>Funds Drawn ($Millions)</v>
      </c>
    </row>
    <row r="42" spans="2:17" s="16" customFormat="1"/>
    <row r="43" spans="2:17" s="16" customFormat="1">
      <c r="E43" s="62" t="s">
        <v>149</v>
      </c>
      <c r="J43" s="112">
        <v>50</v>
      </c>
      <c r="K43" s="79">
        <f>Fcast_TO!K107</f>
        <v>50</v>
      </c>
      <c r="L43" s="79">
        <f>Fcast_TO!L107</f>
        <v>50</v>
      </c>
      <c r="M43" s="79">
        <f>Fcast_TO!M107</f>
        <v>50</v>
      </c>
      <c r="N43" s="79">
        <f>Fcast_TO!N107</f>
        <v>50</v>
      </c>
      <c r="O43" s="79">
        <f>Fcast_TO!O107</f>
        <v>55</v>
      </c>
      <c r="P43" s="79">
        <f>Fcast_TO!P107</f>
        <v>55</v>
      </c>
      <c r="Q43" s="79">
        <f>Fcast_TO!Q107</f>
        <v>55</v>
      </c>
    </row>
    <row r="44" spans="2:17" s="16" customFormat="1">
      <c r="E44" s="62" t="s">
        <v>150</v>
      </c>
      <c r="J44" s="112">
        <v>0</v>
      </c>
      <c r="K44" s="112">
        <v>0</v>
      </c>
      <c r="L44" s="112">
        <v>0</v>
      </c>
      <c r="M44" s="112">
        <v>0</v>
      </c>
      <c r="N44" s="112">
        <v>50</v>
      </c>
      <c r="O44" s="112">
        <v>0</v>
      </c>
      <c r="P44" s="112">
        <v>0</v>
      </c>
      <c r="Q44" s="112">
        <v>0</v>
      </c>
    </row>
    <row r="45" spans="2:17" s="16" customFormat="1">
      <c r="E45" s="62" t="s">
        <v>151</v>
      </c>
      <c r="J45" s="112">
        <v>0</v>
      </c>
      <c r="K45" s="112">
        <v>0</v>
      </c>
      <c r="L45" s="112">
        <v>0</v>
      </c>
      <c r="M45" s="112">
        <v>0</v>
      </c>
      <c r="N45" s="112">
        <v>45</v>
      </c>
      <c r="O45" s="112">
        <v>0</v>
      </c>
      <c r="P45" s="112">
        <v>0</v>
      </c>
      <c r="Q45" s="112">
        <v>0</v>
      </c>
    </row>
    <row r="46" spans="2:17" s="16" customFormat="1">
      <c r="E46" s="59" t="s">
        <v>152</v>
      </c>
      <c r="J46" s="123">
        <f>Fcast_TO!J110</f>
        <v>50</v>
      </c>
      <c r="K46" s="123">
        <f>Fcast_TO!K110</f>
        <v>50</v>
      </c>
      <c r="L46" s="123">
        <f>Fcast_TO!L110</f>
        <v>50</v>
      </c>
      <c r="M46" s="123">
        <f>Fcast_TO!M110</f>
        <v>50</v>
      </c>
      <c r="N46" s="123">
        <f>Fcast_TO!N110</f>
        <v>55</v>
      </c>
      <c r="O46" s="123">
        <f>Fcast_TO!O110</f>
        <v>55</v>
      </c>
      <c r="P46" s="123">
        <f>Fcast_TO!P110</f>
        <v>55</v>
      </c>
      <c r="Q46" s="123">
        <f>Fcast_TO!Q110</f>
        <v>55</v>
      </c>
    </row>
    <row r="47" spans="2:17" s="16" customFormat="1"/>
    <row r="48" spans="2:17" s="16" customFormat="1">
      <c r="E48" s="62" t="s">
        <v>153</v>
      </c>
      <c r="J48" s="60">
        <v>0.5</v>
      </c>
      <c r="K48" s="60">
        <v>0.5</v>
      </c>
      <c r="L48" s="60">
        <v>0.5</v>
      </c>
      <c r="M48" s="60">
        <v>0.5</v>
      </c>
      <c r="N48" s="60">
        <v>0.5</v>
      </c>
      <c r="O48" s="60">
        <v>0.5</v>
      </c>
      <c r="P48" s="60">
        <v>0.5</v>
      </c>
      <c r="Q48" s="60">
        <v>0.5</v>
      </c>
    </row>
    <row r="49" spans="3:17" s="16" customFormat="1"/>
    <row r="50" spans="3:17" s="16" customFormat="1">
      <c r="D50" s="59" t="s">
        <v>154</v>
      </c>
    </row>
    <row r="51" spans="3:17" s="16" customFormat="1"/>
    <row r="52" spans="3:17" s="16" customFormat="1">
      <c r="E52" s="62" t="s">
        <v>155</v>
      </c>
      <c r="J52" s="112">
        <v>0</v>
      </c>
    </row>
    <row r="53" spans="3:17" s="16" customFormat="1"/>
    <row r="54" spans="3:17" s="16" customFormat="1">
      <c r="E54" s="62" t="s">
        <v>156</v>
      </c>
      <c r="J54" s="126">
        <v>0.05</v>
      </c>
      <c r="K54" s="126">
        <v>0.05</v>
      </c>
      <c r="L54" s="126">
        <v>0.05</v>
      </c>
      <c r="M54" s="126">
        <v>0.05</v>
      </c>
      <c r="N54" s="126">
        <v>0.05</v>
      </c>
      <c r="O54" s="126">
        <v>0.05</v>
      </c>
      <c r="P54" s="126">
        <v>0.05</v>
      </c>
      <c r="Q54" s="126">
        <v>0.05</v>
      </c>
    </row>
    <row r="55" spans="3:17" s="16" customFormat="1">
      <c r="E55" s="62" t="s">
        <v>157</v>
      </c>
      <c r="J55" s="126">
        <v>1.4999999999999999E-2</v>
      </c>
      <c r="K55" s="126">
        <v>1.4999999999999999E-2</v>
      </c>
      <c r="L55" s="126">
        <v>1.4999999999999999E-2</v>
      </c>
      <c r="M55" s="126">
        <v>1.4999999999999999E-2</v>
      </c>
      <c r="N55" s="126">
        <v>1.4999999999999999E-2</v>
      </c>
      <c r="O55" s="126">
        <v>1.4999999999999999E-2</v>
      </c>
      <c r="P55" s="126">
        <v>1.4999999999999999E-2</v>
      </c>
      <c r="Q55" s="126">
        <v>1.4999999999999999E-2</v>
      </c>
    </row>
    <row r="56" spans="3:17" s="16" customFormat="1">
      <c r="E56" s="62" t="s">
        <v>158</v>
      </c>
      <c r="J56" s="127">
        <f t="shared" ref="J56:Q56" si="8">SUM(J54:J55)</f>
        <v>6.5000000000000002E-2</v>
      </c>
      <c r="K56" s="127">
        <f t="shared" si="8"/>
        <v>6.5000000000000002E-2</v>
      </c>
      <c r="L56" s="127">
        <f t="shared" si="8"/>
        <v>6.5000000000000002E-2</v>
      </c>
      <c r="M56" s="127">
        <f t="shared" si="8"/>
        <v>6.5000000000000002E-2</v>
      </c>
      <c r="N56" s="127">
        <f t="shared" si="8"/>
        <v>6.5000000000000002E-2</v>
      </c>
      <c r="O56" s="127">
        <f t="shared" si="8"/>
        <v>6.5000000000000002E-2</v>
      </c>
      <c r="P56" s="127">
        <f t="shared" si="8"/>
        <v>6.5000000000000002E-2</v>
      </c>
      <c r="Q56" s="127">
        <f t="shared" si="8"/>
        <v>6.5000000000000002E-2</v>
      </c>
    </row>
    <row r="58" spans="3:17" s="16" customFormat="1" ht="11.25">
      <c r="C58" s="58" t="s">
        <v>278</v>
      </c>
    </row>
    <row r="59" spans="3:17" s="16" customFormat="1"/>
    <row r="60" spans="3:17" s="16" customFormat="1">
      <c r="D60" s="128" t="str">
        <f>"Ordinary Equity Balances"&amp;" ("&amp;INDEX(LU_Denom,DD_TS_Denom)&amp;")"</f>
        <v>Ordinary Equity Balances ($Millions)</v>
      </c>
    </row>
    <row r="61" spans="3:17" s="16" customFormat="1"/>
    <row r="62" spans="3:17" s="16" customFormat="1">
      <c r="E62" s="62" t="s">
        <v>149</v>
      </c>
      <c r="J62" s="112">
        <v>75</v>
      </c>
      <c r="K62" s="79">
        <f>Fcast_TO!K133</f>
        <v>75</v>
      </c>
      <c r="L62" s="79">
        <f>Fcast_TO!L133</f>
        <v>75</v>
      </c>
      <c r="M62" s="79">
        <f>Fcast_TO!M133</f>
        <v>75</v>
      </c>
      <c r="N62" s="79">
        <f>Fcast_TO!N133</f>
        <v>75</v>
      </c>
      <c r="O62" s="79">
        <f>Fcast_TO!O133</f>
        <v>75</v>
      </c>
      <c r="P62" s="79">
        <f>Fcast_TO!P133</f>
        <v>75</v>
      </c>
      <c r="Q62" s="79">
        <f>Fcast_TO!Q133</f>
        <v>75</v>
      </c>
    </row>
    <row r="63" spans="3:17" s="16" customFormat="1">
      <c r="E63" s="62" t="s">
        <v>169</v>
      </c>
      <c r="J63" s="112">
        <v>0</v>
      </c>
      <c r="K63" s="112">
        <v>0</v>
      </c>
      <c r="L63" s="112">
        <v>0</v>
      </c>
      <c r="M63" s="112">
        <v>0</v>
      </c>
      <c r="N63" s="112">
        <v>0</v>
      </c>
      <c r="O63" s="112">
        <v>0</v>
      </c>
      <c r="P63" s="112">
        <v>0</v>
      </c>
      <c r="Q63" s="112">
        <v>0</v>
      </c>
    </row>
    <row r="64" spans="3:17" s="16" customFormat="1">
      <c r="E64" s="62" t="s">
        <v>170</v>
      </c>
      <c r="J64" s="112">
        <v>0</v>
      </c>
      <c r="K64" s="112">
        <v>0</v>
      </c>
      <c r="L64" s="112">
        <v>0</v>
      </c>
      <c r="M64" s="112">
        <v>0</v>
      </c>
      <c r="N64" s="112">
        <v>0</v>
      </c>
      <c r="O64" s="112">
        <v>0</v>
      </c>
      <c r="P64" s="112">
        <v>0</v>
      </c>
      <c r="Q64" s="112">
        <v>0</v>
      </c>
    </row>
    <row r="65" spans="4:17" s="16" customFormat="1">
      <c r="E65" s="59" t="s">
        <v>171</v>
      </c>
      <c r="J65" s="123">
        <f>Fcast_TO!J136</f>
        <v>75</v>
      </c>
      <c r="K65" s="123">
        <f>Fcast_TO!K136</f>
        <v>75</v>
      </c>
      <c r="L65" s="123">
        <f>Fcast_TO!L136</f>
        <v>75</v>
      </c>
      <c r="M65" s="123">
        <f>Fcast_TO!M136</f>
        <v>75</v>
      </c>
      <c r="N65" s="123">
        <f>Fcast_TO!N136</f>
        <v>75</v>
      </c>
      <c r="O65" s="123">
        <f>Fcast_TO!O136</f>
        <v>75</v>
      </c>
      <c r="P65" s="123">
        <f>Fcast_TO!P136</f>
        <v>75</v>
      </c>
      <c r="Q65" s="123">
        <f>Fcast_TO!Q136</f>
        <v>75</v>
      </c>
    </row>
    <row r="66" spans="4:17" s="16" customFormat="1"/>
    <row r="67" spans="4:17" s="16" customFormat="1">
      <c r="D67" s="59" t="s">
        <v>172</v>
      </c>
    </row>
    <row r="68" spans="4:17" s="16" customFormat="1"/>
    <row r="69" spans="4:17" s="16" customFormat="1">
      <c r="E69" s="62" t="s">
        <v>149</v>
      </c>
      <c r="J69" s="112">
        <v>0</v>
      </c>
    </row>
    <row r="70" spans="4:17" s="16" customFormat="1"/>
    <row r="71" spans="4:17" s="16" customFormat="1" ht="15.75" customHeight="1">
      <c r="E71" s="62" t="s">
        <v>173</v>
      </c>
      <c r="J71" s="77">
        <v>1</v>
      </c>
    </row>
    <row r="72" spans="4:17" s="16" customFormat="1"/>
    <row r="73" spans="4:17" s="16" customFormat="1">
      <c r="E73" s="62" t="s">
        <v>174</v>
      </c>
      <c r="J73" s="131" t="s">
        <v>86</v>
      </c>
      <c r="K73" s="131" t="s">
        <v>86</v>
      </c>
      <c r="L73" s="131" t="s">
        <v>86</v>
      </c>
      <c r="M73" s="131" t="s">
        <v>86</v>
      </c>
      <c r="N73" s="131" t="s">
        <v>86</v>
      </c>
      <c r="O73" s="131" t="s">
        <v>86</v>
      </c>
      <c r="P73" s="131" t="s">
        <v>86</v>
      </c>
      <c r="Q73" s="131" t="s">
        <v>86</v>
      </c>
    </row>
    <row r="74" spans="4:17" s="16" customFormat="1">
      <c r="E74" s="124" t="str">
        <f>"Dividend Payout Ratio - "&amp;IF(DD_Eq_Ord_Div_Meth=1,INDEX(LU_Eq_Ord_Div_Meth,DD_Eq_Ord_Div_Meth),"Not Applied")</f>
        <v>Dividend Payout Ratio - % of NPAT</v>
      </c>
      <c r="J74" s="60">
        <v>0.5</v>
      </c>
      <c r="K74" s="60">
        <v>0.5</v>
      </c>
      <c r="L74" s="60">
        <v>0.5</v>
      </c>
      <c r="M74" s="60">
        <v>0.5</v>
      </c>
      <c r="N74" s="60">
        <v>0.5</v>
      </c>
      <c r="O74" s="60">
        <v>0.5</v>
      </c>
      <c r="P74" s="60">
        <v>0.5</v>
      </c>
      <c r="Q74" s="60">
        <v>0.5</v>
      </c>
    </row>
    <row r="75" spans="4:17" s="16" customFormat="1">
      <c r="E75" s="124" t="str">
        <f>"Assumed Dividends "&amp;IF(DD_Eq_Ord_Div_Meth=2,"("&amp;INDEX(LU_Denom,DD_TS_Denom)&amp;")","- Not Applied")</f>
        <v>Assumed Dividends - Not Applied</v>
      </c>
      <c r="J75" s="112">
        <v>0</v>
      </c>
      <c r="K75" s="112">
        <v>0</v>
      </c>
      <c r="L75" s="112">
        <v>0</v>
      </c>
      <c r="M75" s="112">
        <v>0</v>
      </c>
      <c r="N75" s="112">
        <v>0</v>
      </c>
      <c r="O75" s="112">
        <v>0</v>
      </c>
      <c r="P75" s="112">
        <v>0</v>
      </c>
      <c r="Q75" s="112">
        <v>0</v>
      </c>
    </row>
    <row r="76" spans="4:17" s="16" customFormat="1"/>
    <row r="77" spans="4:17" s="16" customFormat="1" ht="17.25" customHeight="1">
      <c r="E77" s="77" t="b">
        <v>0</v>
      </c>
    </row>
    <row r="78" spans="4:17" s="16" customFormat="1" ht="17.25" customHeight="1">
      <c r="E78" s="77" t="b">
        <v>0</v>
      </c>
    </row>
    <row r="79" spans="4:17" s="16" customFormat="1"/>
    <row r="80" spans="4:17" s="16" customFormat="1">
      <c r="D80" s="59" t="s">
        <v>118</v>
      </c>
      <c r="E80" s="107"/>
    </row>
    <row r="81" spans="2:10" s="16" customFormat="1">
      <c r="B81" s="107"/>
      <c r="D81" s="78">
        <v>1</v>
      </c>
      <c r="E81" s="62" t="s">
        <v>175</v>
      </c>
    </row>
    <row r="82" spans="2:10" s="16" customFormat="1">
      <c r="B82" s="107"/>
      <c r="D82" s="78">
        <v>2</v>
      </c>
      <c r="E82" s="62" t="s">
        <v>176</v>
      </c>
    </row>
    <row r="85" spans="2:10" s="16" customFormat="1" ht="12.75">
      <c r="B85" s="111" t="s">
        <v>270</v>
      </c>
    </row>
    <row r="86" spans="2:10" s="16" customFormat="1"/>
    <row r="87" spans="2:10" s="16" customFormat="1" ht="11.25">
      <c r="C87" s="122" t="str">
        <f>"Tax Payable ("&amp;INDEX(LU_Denom,DD_TS_Denom)&amp;")"</f>
        <v>Tax Payable ($Millions)</v>
      </c>
    </row>
    <row r="88" spans="2:10" s="16" customFormat="1"/>
    <row r="89" spans="2:10" s="163" customFormat="1">
      <c r="D89" s="62" t="s">
        <v>1</v>
      </c>
      <c r="J89" s="112">
        <v>3.5</v>
      </c>
    </row>
    <row r="90" spans="2:10" s="163" customFormat="1">
      <c r="D90" s="62"/>
    </row>
    <row r="91" spans="2:10" s="16" customFormat="1" ht="11.25">
      <c r="C91" s="58" t="s">
        <v>2</v>
      </c>
    </row>
    <row r="92" spans="2:10" s="16" customFormat="1"/>
    <row r="93" spans="2:10" s="16" customFormat="1">
      <c r="D93" s="62" t="s">
        <v>3</v>
      </c>
      <c r="J93" s="60">
        <v>0.3</v>
      </c>
    </row>
    <row r="94" spans="2:10" s="16" customFormat="1"/>
    <row r="95" spans="2:10" s="16" customFormat="1">
      <c r="C95" s="59" t="s">
        <v>118</v>
      </c>
      <c r="D95" s="107"/>
    </row>
    <row r="96" spans="2:10" s="16" customFormat="1">
      <c r="B96" s="107"/>
      <c r="C96" s="78">
        <v>1</v>
      </c>
      <c r="D96" s="62" t="s">
        <v>340</v>
      </c>
    </row>
    <row r="97" spans="2:17">
      <c r="C97" s="78">
        <v>2</v>
      </c>
      <c r="D97" s="62" t="s">
        <v>280</v>
      </c>
    </row>
    <row r="98" spans="2:17" ht="10.5" customHeight="1">
      <c r="C98" s="78">
        <v>3</v>
      </c>
      <c r="D98" s="267" t="s">
        <v>342</v>
      </c>
      <c r="E98" s="267"/>
      <c r="F98" s="267"/>
      <c r="G98" s="267"/>
      <c r="H98" s="267"/>
      <c r="I98" s="267"/>
      <c r="J98" s="267"/>
      <c r="K98" s="267"/>
      <c r="L98" s="167"/>
    </row>
    <row r="99" spans="2:17">
      <c r="D99" s="267"/>
      <c r="E99" s="267"/>
      <c r="F99" s="267"/>
      <c r="G99" s="267"/>
      <c r="H99" s="267"/>
      <c r="I99" s="267"/>
      <c r="J99" s="267"/>
      <c r="K99" s="267"/>
      <c r="L99" s="167"/>
    </row>
    <row r="102" spans="2:17" ht="12.75">
      <c r="B102" s="111" t="s">
        <v>387</v>
      </c>
    </row>
    <row r="104" spans="2:17" ht="11.25">
      <c r="C104" s="122" t="str">
        <f>"Cash at Bank ("&amp;INDEX(LU_Denom,DD_TS_Denom)&amp;")"</f>
        <v>Cash at Bank ($Millions)</v>
      </c>
    </row>
    <row r="106" spans="2:17" s="163" customFormat="1">
      <c r="D106" s="62" t="s">
        <v>185</v>
      </c>
      <c r="J106" s="112">
        <v>15</v>
      </c>
    </row>
    <row r="108" spans="2:17" ht="11.25">
      <c r="C108" s="122" t="str">
        <f>"Other Balance Sheet Items ("&amp;INDEX(LU_Denom,DD_TS_Denom)&amp;")"</f>
        <v>Other Balance Sheet Items ($Millions)</v>
      </c>
    </row>
    <row r="109" spans="2:17" ht="11.25" thickBot="1">
      <c r="I109" s="166" t="s">
        <v>329</v>
      </c>
    </row>
    <row r="110" spans="2:17">
      <c r="D110" s="62" t="s">
        <v>346</v>
      </c>
      <c r="I110" s="61">
        <v>2</v>
      </c>
      <c r="J110" s="112">
        <v>3</v>
      </c>
      <c r="K110" s="112">
        <v>4</v>
      </c>
      <c r="L110" s="112">
        <v>5</v>
      </c>
      <c r="M110" s="112">
        <v>6</v>
      </c>
      <c r="N110" s="112">
        <v>7</v>
      </c>
      <c r="O110" s="112">
        <v>8</v>
      </c>
      <c r="P110" s="112">
        <v>9</v>
      </c>
      <c r="Q110" s="112">
        <v>10</v>
      </c>
    </row>
    <row r="111" spans="2:17">
      <c r="D111" s="62" t="s">
        <v>347</v>
      </c>
      <c r="I111" s="61">
        <v>3</v>
      </c>
      <c r="J111" s="112">
        <v>4</v>
      </c>
      <c r="K111" s="112">
        <v>5</v>
      </c>
      <c r="L111" s="112">
        <v>6</v>
      </c>
      <c r="M111" s="112">
        <v>7</v>
      </c>
      <c r="N111" s="112">
        <v>8</v>
      </c>
      <c r="O111" s="112">
        <v>9</v>
      </c>
      <c r="P111" s="112">
        <v>10</v>
      </c>
      <c r="Q111" s="112">
        <v>11</v>
      </c>
    </row>
    <row r="112" spans="2:17">
      <c r="D112" s="62" t="s">
        <v>348</v>
      </c>
      <c r="I112" s="61">
        <v>4</v>
      </c>
      <c r="J112" s="112">
        <v>5</v>
      </c>
      <c r="K112" s="112">
        <v>6</v>
      </c>
      <c r="L112" s="112">
        <v>7</v>
      </c>
      <c r="M112" s="112">
        <v>8</v>
      </c>
      <c r="N112" s="112">
        <v>9</v>
      </c>
      <c r="O112" s="112">
        <v>10</v>
      </c>
      <c r="P112" s="112">
        <v>11</v>
      </c>
      <c r="Q112" s="112">
        <v>12</v>
      </c>
    </row>
    <row r="113" spans="4:17">
      <c r="D113" s="62" t="s">
        <v>349</v>
      </c>
      <c r="I113" s="61">
        <v>5</v>
      </c>
      <c r="J113" s="112">
        <v>6</v>
      </c>
      <c r="K113" s="112">
        <v>7</v>
      </c>
      <c r="L113" s="112">
        <v>8</v>
      </c>
      <c r="M113" s="112">
        <v>9</v>
      </c>
      <c r="N113" s="112">
        <v>10</v>
      </c>
      <c r="O113" s="112">
        <v>11</v>
      </c>
      <c r="P113" s="112">
        <v>12</v>
      </c>
      <c r="Q113" s="112">
        <v>13</v>
      </c>
    </row>
    <row r="115" spans="4:17">
      <c r="D115" s="59" t="s">
        <v>118</v>
      </c>
      <c r="E115" s="163"/>
    </row>
    <row r="116" spans="4:17" s="177" customFormat="1">
      <c r="D116" s="78">
        <v>1</v>
      </c>
      <c r="E116" s="124" t="str">
        <f>"Opening balance assumptions are specified in "&amp;INDEX(LU_Denom,DD_TS_Denom)&amp;"."</f>
        <v>Opening balance assumptions are specified in $Millions.</v>
      </c>
    </row>
    <row r="117" spans="4:17">
      <c r="D117" s="78">
        <v>2</v>
      </c>
      <c r="E117" s="62" t="s">
        <v>352</v>
      </c>
    </row>
    <row r="118" spans="4:17">
      <c r="D118" s="78">
        <v>3</v>
      </c>
      <c r="E118" s="62" t="s">
        <v>350</v>
      </c>
    </row>
    <row r="119" spans="4:17">
      <c r="D119" s="78">
        <v>4</v>
      </c>
      <c r="E119" s="62" t="s">
        <v>351</v>
      </c>
    </row>
  </sheetData>
  <mergeCells count="2">
    <mergeCell ref="D98:K99"/>
    <mergeCell ref="B3:F3"/>
  </mergeCells>
  <conditionalFormatting sqref="J73:Q73">
    <cfRule type="cellIs" dxfId="60" priority="9" stopIfTrue="1" operator="equal">
      <formula>"Yes"</formula>
    </cfRule>
  </conditionalFormatting>
  <conditionalFormatting sqref="J74:Q74">
    <cfRule type="expression" dxfId="59" priority="8" stopIfTrue="1">
      <formula>OR(DD_Eq_Ord_Div_Meth&lt;&gt;1,J73&lt;&gt;"Yes")</formula>
    </cfRule>
  </conditionalFormatting>
  <conditionalFormatting sqref="J75:Q75">
    <cfRule type="expression" dxfId="58" priority="7" stopIfTrue="1">
      <formula>OR(DD_Eq_Ord_Div_Meth&lt;&gt;2,J73&lt;&gt;"Yes")</formula>
    </cfRule>
  </conditionalFormatting>
  <conditionalFormatting sqref="I21:Q21">
    <cfRule type="cellIs" dxfId="57" priority="1" stopIfTrue="1" operator="notEqual">
      <formula>0</formula>
    </cfRule>
  </conditionalFormatting>
  <dataValidations count="23">
    <dataValidation type="decimal" showDropDown="1" showInputMessage="1" showErrorMessage="1" errorTitle="Invalid Assumption" error="The Corporate Taxation Rate percentage cannot be less than 0% or greater than 100% in any period." promptTitle="Corporate Taxation Rate" prompt="Tax rate applied to all tax calculations in the model." sqref="J93">
      <formula1>0</formula1>
      <formula2>1</formula2>
    </dataValidation>
    <dataValidation type="custom" showDropDown="1" showErrorMessage="1" errorTitle="Check Box Cell Link" error="The value in an option button cell link must be either &quot;TRUE&quot; or &quot;FALSE&quot;" sqref="E77:E78">
      <formula1>ISLOGICAL(E77)</formula1>
    </dataValidation>
    <dataValidation type="list" showErrorMessage="1" errorTitle="Invalid Assumption" error="A &quot;Yes&quot; Or &quot;No&quot; must be entered for each period indicating whether or not dividends are declared in that period." sqref="J73:Q73">
      <formula1>"Yes,No"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Ordinary Equity Balance" prompt="Represents the value of ordinary equity as at the start of the current time series." sqref="J62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Equity Raisings" prompt="Represents the value of equity raised during the current period." sqref="J63:Q6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Equity Repayments" prompt="Represents the value of equity repaid during the current period." sqref="J64:Q64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Dividends Payable" prompt="Represents the value of dividends payable as at the start of the current time series." sqref="J69">
      <formula1>0</formula1>
    </dataValidation>
    <dataValidation type="whole" showDropDown="1" showErrorMessage="1" errorTitle="Drop Down Box Cell Link" error="The value in a drop down box cell link must be a whole number within the control's lookup range rows." sqref="J71">
      <formula1>1</formula1>
      <formula2>ROWS(LU_Eq_Ord_Div_Meth )</formula2>
    </dataValidation>
    <dataValidation type="decimal" showDropDown="1" showErrorMessage="1" errorTitle="Invalid Assumption" error="The Dividend Payout Ratio percentage cannot be less than 0% or greater than 100% in any period." sqref="J74:Q74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Assumed Dividends" prompt="Represents the value of Dividends Payable as at the end of the current period." sqref="J75:Q75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Debt Balance" prompt="Represents the value of debt as at the start of the current time series." sqref="J4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Debt Drawdowns" prompt="Represents the value of debt drawn down during the current period." sqref="J44:Q44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Debt Repayments" prompt="Represents the value of debt repaid during the current period." sqref="J45:Q45">
      <formula1>0</formula1>
    </dataValidation>
    <dataValidation type="decimal" showDropDown="1" showErrorMessage="1" errorTitle="Invalid Assumption" error="The &quot;Drawdowns/Repayments % into Period&quot; percentage cannot be less than 0% or greater than 100% in any period." sqref="J48:Q48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Interest Payable Balance" prompt="Represents the value of interest payable  as at the start of the current time series." sqref="J52">
      <formula1>0</formula1>
    </dataValidation>
    <dataValidation type="decimal" allowBlank="1" showDropDown="1" showInputMessage="1" showErrorMessage="1" errorTitle="Invalid Assumption" error="The base interest rate percentage cannot be less than 0% or greater than 100% in any period." promptTitle="Base Interest Rate" prompt="Represents the base interest rate applicable to the debt drawn on the current debt category for the current period" sqref="J54:Q54">
      <formula1>0</formula1>
      <formula2>1</formula2>
    </dataValidation>
    <dataValidation type="decimal" allowBlank="1" showDropDown="1" showInputMessage="1" showErrorMessage="1" errorTitle="Invalid Assumption" error="The margin percentage cannot be less than 0% or greater than 100% in any period." promptTitle="Margin" prompt="Represents the margin applicable to the debt drawn on the current debt category for the current period" sqref="J55:Q55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Tax Payable" prompt="Represents the opening value of the tax payable liability." sqref="J89">
      <formula1>0</formula1>
    </dataValidation>
    <dataValidation type="custom" showErrorMessage="1" errorTitle="Invalid Assumption" error="Assumption must be a number." sqref="J110:Q113 J30:Q31">
      <formula1>NOT(ISERROR(J30/1))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Cash at Bank" prompt="Cash at bank as at the model start date." sqref="J106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Balance" prompt="The asset, liability or equity balance as at the model start date." sqref="I110:I11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Balance" prompt="Opening balance as at the model start date." sqref="I18:I19 I30:I31">
      <formula1>0</formula1>
    </dataValidation>
    <dataValidation type="decimal" operator="greaterThanOrEqual" allowBlank="1" showDropDown="1" showErrorMessage="1" errorTitle="Invalid Assumption" error="Assumption must be a value greater than or equal to zero." sqref="J18:Q19">
      <formula1>0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&amp;L&amp;F
&amp;A
Printed: &amp;T on &amp;D&amp;CPage &amp;P of &amp;N&amp;R&amp;G</oddFooter>
  </headerFooter>
  <rowBreaks count="4" manualBreakCount="4">
    <brk id="36" min="1" max="16" man="1"/>
    <brk id="57" min="1" max="16" man="1"/>
    <brk id="84" min="1" max="16" man="1"/>
    <brk id="101" min="1" max="16" man="1"/>
  </rowBreaks>
  <legacy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265</v>
      </c>
    </row>
    <row r="10" spans="3:7" ht="16.5">
      <c r="C10" s="24" t="s">
        <v>115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326</v>
      </c>
    </row>
    <row r="18" spans="3:3">
      <c r="C18" s="23" t="s">
        <v>261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369</v>
      </c>
    </row>
    <row r="10" spans="3:7" ht="16.5">
      <c r="C10" s="24" t="s">
        <v>377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365</v>
      </c>
    </row>
    <row r="18" spans="3:3">
      <c r="C18" s="171" t="s">
        <v>370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17" tooltip="Go to Next Sheet" display="HL_Sheet_Main_1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Q219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265</v>
      </c>
    </row>
    <row r="2" spans="1:17" ht="15">
      <c r="B2" s="2" t="str">
        <f>Model_Name</f>
        <v>SMA 13. Multiple Workbooks - Practical Training Exercise 1 (Alert in Ordinary Equity - Outputs)</v>
      </c>
    </row>
    <row r="3" spans="1:17">
      <c r="B3" s="230" t="s">
        <v>48</v>
      </c>
      <c r="C3" s="230"/>
      <c r="D3" s="230"/>
      <c r="E3" s="230"/>
      <c r="F3" s="230"/>
    </row>
    <row r="4" spans="1:17" ht="12.75">
      <c r="A4" s="8" t="s">
        <v>51</v>
      </c>
      <c r="B4" s="9" t="s">
        <v>53</v>
      </c>
      <c r="C4" s="10" t="s">
        <v>102</v>
      </c>
      <c r="D4" s="229" t="s">
        <v>120</v>
      </c>
      <c r="E4" s="229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256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211" t="s">
        <v>266</v>
      </c>
    </row>
    <row r="18" spans="2:17" s="13" customFormat="1">
      <c r="C18" s="213" t="s">
        <v>128</v>
      </c>
      <c r="J18" s="212">
        <v>0</v>
      </c>
      <c r="K18" s="212">
        <v>0</v>
      </c>
      <c r="L18" s="212">
        <v>0</v>
      </c>
      <c r="M18" s="212">
        <v>0</v>
      </c>
      <c r="N18" s="212">
        <v>0</v>
      </c>
      <c r="O18" s="212">
        <v>0</v>
      </c>
      <c r="P18" s="212">
        <v>0</v>
      </c>
      <c r="Q18" s="212">
        <v>0</v>
      </c>
    </row>
    <row r="19" spans="2:17" s="13" customFormat="1">
      <c r="C19" s="213" t="s">
        <v>328</v>
      </c>
      <c r="J19" s="212">
        <v>0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2">
        <v>0</v>
      </c>
      <c r="Q19" s="212">
        <v>0</v>
      </c>
    </row>
    <row r="20" spans="2:17" s="13" customFormat="1">
      <c r="C20" s="213" t="s">
        <v>140</v>
      </c>
      <c r="J20" s="212">
        <v>0</v>
      </c>
      <c r="K20" s="212">
        <v>0</v>
      </c>
      <c r="L20" s="212">
        <v>0</v>
      </c>
      <c r="M20" s="212">
        <v>0</v>
      </c>
      <c r="N20" s="212">
        <v>0</v>
      </c>
      <c r="O20" s="212">
        <v>0</v>
      </c>
      <c r="P20" s="212">
        <v>0</v>
      </c>
      <c r="Q20" s="212">
        <v>0</v>
      </c>
    </row>
    <row r="21" spans="2:17" s="13" customFormat="1">
      <c r="C21" s="213" t="s">
        <v>331</v>
      </c>
      <c r="J21" s="212">
        <v>0</v>
      </c>
      <c r="K21" s="212">
        <v>0</v>
      </c>
      <c r="L21" s="212">
        <v>0</v>
      </c>
      <c r="M21" s="212">
        <v>0</v>
      </c>
      <c r="N21" s="212">
        <v>0</v>
      </c>
      <c r="O21" s="212">
        <v>0</v>
      </c>
      <c r="P21" s="212">
        <v>0</v>
      </c>
      <c r="Q21" s="212">
        <v>0</v>
      </c>
    </row>
    <row r="22" spans="2:17" s="13" customFormat="1">
      <c r="C22" s="213" t="s">
        <v>332</v>
      </c>
      <c r="J22" s="212">
        <v>0</v>
      </c>
      <c r="K22" s="212">
        <v>0</v>
      </c>
      <c r="L22" s="212">
        <v>0</v>
      </c>
      <c r="M22" s="212">
        <v>0</v>
      </c>
      <c r="N22" s="212">
        <v>0</v>
      </c>
      <c r="O22" s="212">
        <v>0</v>
      </c>
      <c r="P22" s="212">
        <v>0</v>
      </c>
      <c r="Q22" s="212">
        <v>0</v>
      </c>
    </row>
    <row r="23" spans="2:17" s="13" customFormat="1">
      <c r="C23" s="5"/>
      <c r="J23" s="91"/>
      <c r="K23" s="91"/>
      <c r="L23" s="91"/>
      <c r="M23" s="91"/>
      <c r="N23" s="91"/>
      <c r="O23" s="91"/>
      <c r="P23" s="91"/>
      <c r="Q23" s="91"/>
    </row>
    <row r="24" spans="2:17" s="13" customFormat="1">
      <c r="C24" s="179" t="s">
        <v>118</v>
      </c>
      <c r="D24" s="21"/>
      <c r="J24" s="91"/>
      <c r="K24" s="91"/>
      <c r="L24" s="91"/>
      <c r="M24" s="91"/>
      <c r="N24" s="91"/>
      <c r="O24" s="91"/>
      <c r="P24" s="91"/>
      <c r="Q24" s="91"/>
    </row>
    <row r="25" spans="2:17" s="13" customFormat="1">
      <c r="C25" s="132">
        <v>1</v>
      </c>
      <c r="D25" s="180" t="s">
        <v>394</v>
      </c>
      <c r="J25" s="91"/>
      <c r="K25" s="91"/>
      <c r="L25" s="91"/>
      <c r="M25" s="91"/>
      <c r="N25" s="91"/>
      <c r="O25" s="91"/>
      <c r="P25" s="91"/>
      <c r="Q25" s="91"/>
    </row>
    <row r="26" spans="2:17" s="13" customFormat="1">
      <c r="C26" s="132">
        <v>2</v>
      </c>
      <c r="D26" s="183" t="str">
        <f>"Revenue and expense amounts are specified in "&amp;INDEX(LU_Denom,DD_TS_Denom)&amp;"."</f>
        <v>Revenue and expense amounts are specified in $Millions.</v>
      </c>
      <c r="J26" s="91"/>
      <c r="K26" s="91"/>
      <c r="L26" s="91"/>
      <c r="M26" s="91"/>
      <c r="N26" s="91"/>
      <c r="O26" s="91"/>
      <c r="P26" s="91"/>
      <c r="Q26" s="91"/>
    </row>
    <row r="28" spans="2:17" s="13" customFormat="1"/>
    <row r="29" spans="2:17" s="13" customFormat="1" ht="12.75">
      <c r="B29" s="115" t="s">
        <v>273</v>
      </c>
    </row>
    <row r="30" spans="2:17" s="13" customFormat="1" ht="12.75">
      <c r="B30" s="20"/>
    </row>
    <row r="31" spans="2:17" s="13" customFormat="1" ht="11.25">
      <c r="C31" s="120" t="str">
        <f>"Accounts Receivable Balances ("&amp;INDEX(LU_Denom,DD_TS_Denom)&amp;")"</f>
        <v>Accounts Receivable Balances ($Millions)</v>
      </c>
    </row>
    <row r="32" spans="2:17" s="13" customFormat="1"/>
    <row r="33" spans="3:17" s="13" customFormat="1">
      <c r="D33" s="164" t="s">
        <v>149</v>
      </c>
      <c r="J33" s="91">
        <f>IF(J$12=1,Fcast_TA!$I$18,I37)</f>
        <v>21</v>
      </c>
      <c r="K33" s="91">
        <f>IF(K$12=1,Fcast_TA!$I$18,J37)</f>
        <v>0</v>
      </c>
      <c r="L33" s="91">
        <f>IF(L$12=1,Fcast_TA!$I$18,K37)</f>
        <v>0</v>
      </c>
      <c r="M33" s="91">
        <f>IF(M$12=1,Fcast_TA!$I$18,L37)</f>
        <v>0</v>
      </c>
      <c r="N33" s="91">
        <f>IF(N$12=1,Fcast_TA!$I$18,M37)</f>
        <v>0</v>
      </c>
      <c r="O33" s="91">
        <f>IF(O$12=1,Fcast_TA!$I$18,N37)</f>
        <v>0</v>
      </c>
      <c r="P33" s="91">
        <f>IF(P$12=1,Fcast_TA!$I$18,O37)</f>
        <v>0</v>
      </c>
      <c r="Q33" s="91">
        <f>IF(Q$12=1,Fcast_TA!$I$18,P37)</f>
        <v>0</v>
      </c>
    </row>
    <row r="34" spans="3:17" s="13" customFormat="1">
      <c r="D34" s="5" t="str">
        <f>C18</f>
        <v>Revenue</v>
      </c>
      <c r="J34" s="91">
        <f t="shared" ref="J34:Q34" si="8">J18</f>
        <v>0</v>
      </c>
      <c r="K34" s="91">
        <f t="shared" si="8"/>
        <v>0</v>
      </c>
      <c r="L34" s="91">
        <f t="shared" si="8"/>
        <v>0</v>
      </c>
      <c r="M34" s="91">
        <f t="shared" si="8"/>
        <v>0</v>
      </c>
      <c r="N34" s="91">
        <f t="shared" si="8"/>
        <v>0</v>
      </c>
      <c r="O34" s="91">
        <f t="shared" si="8"/>
        <v>0</v>
      </c>
      <c r="P34" s="91">
        <f t="shared" si="8"/>
        <v>0</v>
      </c>
      <c r="Q34" s="91">
        <f t="shared" si="8"/>
        <v>0</v>
      </c>
    </row>
    <row r="35" spans="3:17" s="18" customFormat="1">
      <c r="D35" s="225" t="s">
        <v>142</v>
      </c>
      <c r="J35" s="224">
        <f t="shared" ref="J35:Q35" si="9">J37-SUM(J33:J34)</f>
        <v>-21</v>
      </c>
      <c r="K35" s="224">
        <f t="shared" si="9"/>
        <v>0</v>
      </c>
      <c r="L35" s="224">
        <f t="shared" si="9"/>
        <v>0</v>
      </c>
      <c r="M35" s="224">
        <f t="shared" si="9"/>
        <v>0</v>
      </c>
      <c r="N35" s="224">
        <f t="shared" si="9"/>
        <v>0</v>
      </c>
      <c r="O35" s="224">
        <f t="shared" si="9"/>
        <v>0</v>
      </c>
      <c r="P35" s="224">
        <f t="shared" si="9"/>
        <v>0</v>
      </c>
      <c r="Q35" s="224">
        <f t="shared" si="9"/>
        <v>0</v>
      </c>
    </row>
    <row r="36" spans="3:17" s="13" customFormat="1" hidden="1" outlineLevel="2">
      <c r="D36" s="220" t="s">
        <v>344</v>
      </c>
      <c r="J36" s="223">
        <f t="shared" ref="J36:Q36" si="10">SUM(J34:J35)</f>
        <v>-21</v>
      </c>
      <c r="K36" s="223">
        <f t="shared" si="10"/>
        <v>0</v>
      </c>
      <c r="L36" s="223">
        <f t="shared" si="10"/>
        <v>0</v>
      </c>
      <c r="M36" s="223">
        <f t="shared" si="10"/>
        <v>0</v>
      </c>
      <c r="N36" s="223">
        <f t="shared" si="10"/>
        <v>0</v>
      </c>
      <c r="O36" s="223">
        <f t="shared" si="10"/>
        <v>0</v>
      </c>
      <c r="P36" s="223">
        <f t="shared" si="10"/>
        <v>0</v>
      </c>
      <c r="Q36" s="223">
        <f t="shared" si="10"/>
        <v>0</v>
      </c>
    </row>
    <row r="37" spans="3:17" s="13" customFormat="1" collapsed="1">
      <c r="D37" s="165" t="s">
        <v>271</v>
      </c>
      <c r="J37" s="121">
        <f t="shared" ref="J37:Q37" si="11">J34*J40/(J$9-J$8+1)</f>
        <v>0</v>
      </c>
      <c r="K37" s="121">
        <f t="shared" si="11"/>
        <v>0</v>
      </c>
      <c r="L37" s="121">
        <f t="shared" si="11"/>
        <v>0</v>
      </c>
      <c r="M37" s="121">
        <f t="shared" si="11"/>
        <v>0</v>
      </c>
      <c r="N37" s="121">
        <f t="shared" si="11"/>
        <v>0</v>
      </c>
      <c r="O37" s="121">
        <f t="shared" si="11"/>
        <v>0</v>
      </c>
      <c r="P37" s="121">
        <f t="shared" si="11"/>
        <v>0</v>
      </c>
      <c r="Q37" s="121">
        <f t="shared" si="11"/>
        <v>0</v>
      </c>
    </row>
    <row r="38" spans="3:17" s="13" customFormat="1"/>
    <row r="39" spans="3:17" s="13" customFormat="1">
      <c r="D39" s="222" t="str">
        <f>"Closing Balance Periodic Growth (% per "&amp;INDEX(LU_Period_Type_Names,MATCH(TS_Periodicity,LU_Periodicity,0))&amp;")"</f>
        <v>Closing Balance Periodic Growth (% per Year)</v>
      </c>
      <c r="K39" s="221" t="str">
        <f t="shared" ref="K39:Q39" si="12">IF(ISERROR(K37/J37),"N/A",
ROUND(K37/J37-1,5))</f>
        <v>N/A</v>
      </c>
      <c r="L39" s="221" t="str">
        <f t="shared" si="12"/>
        <v>N/A</v>
      </c>
      <c r="M39" s="221" t="str">
        <f t="shared" si="12"/>
        <v>N/A</v>
      </c>
      <c r="N39" s="221" t="str">
        <f t="shared" si="12"/>
        <v>N/A</v>
      </c>
      <c r="O39" s="221" t="str">
        <f t="shared" si="12"/>
        <v>N/A</v>
      </c>
      <c r="P39" s="221" t="str">
        <f t="shared" si="12"/>
        <v>N/A</v>
      </c>
      <c r="Q39" s="221" t="str">
        <f t="shared" si="12"/>
        <v>N/A</v>
      </c>
    </row>
    <row r="40" spans="3:17" s="13" customFormat="1">
      <c r="D40" s="220" t="s">
        <v>417</v>
      </c>
      <c r="J40" s="219">
        <f>Fcast_TA!J18</f>
        <v>30</v>
      </c>
      <c r="K40" s="219">
        <f>Fcast_TA!K18</f>
        <v>30</v>
      </c>
      <c r="L40" s="219">
        <f>Fcast_TA!L18</f>
        <v>30</v>
      </c>
      <c r="M40" s="219">
        <f>Fcast_TA!M18</f>
        <v>30</v>
      </c>
      <c r="N40" s="219">
        <f>Fcast_TA!N18</f>
        <v>30</v>
      </c>
      <c r="O40" s="219">
        <f>Fcast_TA!O18</f>
        <v>30</v>
      </c>
      <c r="P40" s="219">
        <f>Fcast_TA!P18</f>
        <v>30</v>
      </c>
      <c r="Q40" s="219">
        <f>Fcast_TA!Q18</f>
        <v>30</v>
      </c>
    </row>
    <row r="41" spans="3:17" s="13" customFormat="1"/>
    <row r="42" spans="3:17" hidden="1" outlineLevel="2">
      <c r="E42" s="164" t="s">
        <v>143</v>
      </c>
      <c r="J42" s="92">
        <f t="shared" ref="J42:Q42" si="13">IF(ISERROR(J33+J36-J37),1,0)</f>
        <v>0</v>
      </c>
      <c r="K42" s="92">
        <f t="shared" si="13"/>
        <v>0</v>
      </c>
      <c r="L42" s="92">
        <f t="shared" si="13"/>
        <v>0</v>
      </c>
      <c r="M42" s="92">
        <f t="shared" si="13"/>
        <v>0</v>
      </c>
      <c r="N42" s="92">
        <f t="shared" si="13"/>
        <v>0</v>
      </c>
      <c r="O42" s="92">
        <f t="shared" si="13"/>
        <v>0</v>
      </c>
      <c r="P42" s="92">
        <f t="shared" si="13"/>
        <v>0</v>
      </c>
      <c r="Q42" s="92">
        <f t="shared" si="13"/>
        <v>0</v>
      </c>
    </row>
    <row r="43" spans="3:17" hidden="1" outlineLevel="2">
      <c r="E43" s="164" t="s">
        <v>144</v>
      </c>
      <c r="J43" s="99">
        <f t="shared" ref="J43:Q43" si="14">IF(J42&lt;&gt;0,0,(ROUND(J33+J36-J37,5)&lt;&gt;0)*1)</f>
        <v>0</v>
      </c>
      <c r="K43" s="99">
        <f t="shared" si="14"/>
        <v>0</v>
      </c>
      <c r="L43" s="99">
        <f t="shared" si="14"/>
        <v>0</v>
      </c>
      <c r="M43" s="99">
        <f t="shared" si="14"/>
        <v>0</v>
      </c>
      <c r="N43" s="99">
        <f t="shared" si="14"/>
        <v>0</v>
      </c>
      <c r="O43" s="99">
        <f t="shared" si="14"/>
        <v>0</v>
      </c>
      <c r="P43" s="99">
        <f t="shared" si="14"/>
        <v>0</v>
      </c>
      <c r="Q43" s="99">
        <f t="shared" si="14"/>
        <v>0</v>
      </c>
    </row>
    <row r="44" spans="3:17" hidden="1" outlineLevel="2">
      <c r="E44" s="164" t="s">
        <v>145</v>
      </c>
      <c r="J44" s="99">
        <f t="shared" ref="J44:Q44" si="15">IF(ISERROR(J35),0,(ROUND(MAX(J35),5)&gt;0)*1)</f>
        <v>0</v>
      </c>
      <c r="K44" s="99">
        <f t="shared" si="15"/>
        <v>0</v>
      </c>
      <c r="L44" s="99">
        <f t="shared" si="15"/>
        <v>0</v>
      </c>
      <c r="M44" s="99">
        <f t="shared" si="15"/>
        <v>0</v>
      </c>
      <c r="N44" s="99">
        <f t="shared" si="15"/>
        <v>0</v>
      </c>
      <c r="O44" s="99">
        <f t="shared" si="15"/>
        <v>0</v>
      </c>
      <c r="P44" s="99">
        <f t="shared" si="15"/>
        <v>0</v>
      </c>
      <c r="Q44" s="99">
        <f t="shared" si="15"/>
        <v>0</v>
      </c>
    </row>
    <row r="45" spans="3:17" hidden="1" outlineLevel="2">
      <c r="E45" s="164" t="s">
        <v>146</v>
      </c>
      <c r="J45" s="119">
        <f t="shared" ref="J45:Q45" si="16">IF(ISERROR(J37),0,(ROUND(MIN(J37),5)&lt;0)*1)</f>
        <v>0</v>
      </c>
      <c r="K45" s="119">
        <f t="shared" si="16"/>
        <v>0</v>
      </c>
      <c r="L45" s="119">
        <f t="shared" si="16"/>
        <v>0</v>
      </c>
      <c r="M45" s="119">
        <f t="shared" si="16"/>
        <v>0</v>
      </c>
      <c r="N45" s="119">
        <f t="shared" si="16"/>
        <v>0</v>
      </c>
      <c r="O45" s="119">
        <f t="shared" si="16"/>
        <v>0</v>
      </c>
      <c r="P45" s="119">
        <f t="shared" si="16"/>
        <v>0</v>
      </c>
      <c r="Q45" s="119">
        <f t="shared" si="16"/>
        <v>0</v>
      </c>
    </row>
    <row r="46" spans="3:17" collapsed="1">
      <c r="D46" s="164" t="s">
        <v>272</v>
      </c>
      <c r="I46" s="95">
        <f>IF(ISERROR(SUM(J46:Q46)),0,MIN(SUM(J46:Q46),1))</f>
        <v>0</v>
      </c>
      <c r="J46" s="92">
        <f>MIN(SUM(J42:J45),1)</f>
        <v>0</v>
      </c>
      <c r="K46" s="92">
        <f t="shared" ref="K46:Q46" si="17">MIN(SUM(K42:K45),1)</f>
        <v>0</v>
      </c>
      <c r="L46" s="92">
        <f t="shared" si="17"/>
        <v>0</v>
      </c>
      <c r="M46" s="92">
        <f t="shared" si="17"/>
        <v>0</v>
      </c>
      <c r="N46" s="92">
        <f t="shared" si="17"/>
        <v>0</v>
      </c>
      <c r="O46" s="92">
        <f t="shared" si="17"/>
        <v>0</v>
      </c>
      <c r="P46" s="92">
        <f t="shared" si="17"/>
        <v>0</v>
      </c>
      <c r="Q46" s="92">
        <f t="shared" si="17"/>
        <v>0</v>
      </c>
    </row>
    <row r="48" spans="3:17" s="13" customFormat="1" ht="11.25">
      <c r="C48" s="120" t="str">
        <f>"Accounts Payable Balances ("&amp;INDEX(LU_Denom,DD_TS_Denom)&amp;")"</f>
        <v>Accounts Payable Balances ($Millions)</v>
      </c>
    </row>
    <row r="49" spans="3:17" s="13" customFormat="1" ht="11.25">
      <c r="C49" s="120"/>
    </row>
    <row r="50" spans="3:17" s="13" customFormat="1">
      <c r="D50" s="164" t="s">
        <v>149</v>
      </c>
      <c r="J50" s="91">
        <f>IF(J$12=1,Fcast_TA!$I$19,I54)</f>
        <v>16</v>
      </c>
      <c r="K50" s="91">
        <f>IF(K$12=1,Fcast_TA!$I$19,J54)</f>
        <v>0</v>
      </c>
      <c r="L50" s="91">
        <f>IF(L$12=1,Fcast_TA!$I$19,K54)</f>
        <v>0</v>
      </c>
      <c r="M50" s="91">
        <f>IF(M$12=1,Fcast_TA!$I$19,L54)</f>
        <v>0</v>
      </c>
      <c r="N50" s="91">
        <f>IF(N$12=1,Fcast_TA!$I$19,M54)</f>
        <v>0</v>
      </c>
      <c r="O50" s="91">
        <f>IF(O$12=1,Fcast_TA!$I$19,N54)</f>
        <v>0</v>
      </c>
      <c r="P50" s="91">
        <f>IF(P$12=1,Fcast_TA!$I$19,O54)</f>
        <v>0</v>
      </c>
      <c r="Q50" s="91">
        <f>IF(Q$12=1,Fcast_TA!$I$19,P54)</f>
        <v>0</v>
      </c>
    </row>
    <row r="51" spans="3:17" s="13" customFormat="1">
      <c r="D51" s="164" t="s">
        <v>330</v>
      </c>
      <c r="J51" s="91">
        <f t="shared" ref="J51:Q51" si="18">SUM(J19:J20)</f>
        <v>0</v>
      </c>
      <c r="K51" s="91">
        <f t="shared" si="18"/>
        <v>0</v>
      </c>
      <c r="L51" s="91">
        <f t="shared" si="18"/>
        <v>0</v>
      </c>
      <c r="M51" s="91">
        <f t="shared" si="18"/>
        <v>0</v>
      </c>
      <c r="N51" s="91">
        <f t="shared" si="18"/>
        <v>0</v>
      </c>
      <c r="O51" s="91">
        <f t="shared" si="18"/>
        <v>0</v>
      </c>
      <c r="P51" s="91">
        <f t="shared" si="18"/>
        <v>0</v>
      </c>
      <c r="Q51" s="91">
        <f t="shared" si="18"/>
        <v>0</v>
      </c>
    </row>
    <row r="52" spans="3:17" s="18" customFormat="1">
      <c r="D52" s="225" t="s">
        <v>147</v>
      </c>
      <c r="J52" s="224">
        <f t="shared" ref="J52:Q52" si="19">J54-SUM(J50:J51)</f>
        <v>-16</v>
      </c>
      <c r="K52" s="224">
        <f t="shared" si="19"/>
        <v>0</v>
      </c>
      <c r="L52" s="224">
        <f t="shared" si="19"/>
        <v>0</v>
      </c>
      <c r="M52" s="224">
        <f t="shared" si="19"/>
        <v>0</v>
      </c>
      <c r="N52" s="224">
        <f t="shared" si="19"/>
        <v>0</v>
      </c>
      <c r="O52" s="224">
        <f t="shared" si="19"/>
        <v>0</v>
      </c>
      <c r="P52" s="224">
        <f t="shared" si="19"/>
        <v>0</v>
      </c>
      <c r="Q52" s="224">
        <f t="shared" si="19"/>
        <v>0</v>
      </c>
    </row>
    <row r="53" spans="3:17" s="13" customFormat="1" hidden="1" outlineLevel="2">
      <c r="D53" s="220" t="s">
        <v>345</v>
      </c>
      <c r="J53" s="223">
        <f t="shared" ref="J53:Q53" si="20">SUM(J51:J52)</f>
        <v>-16</v>
      </c>
      <c r="K53" s="223">
        <f t="shared" si="20"/>
        <v>0</v>
      </c>
      <c r="L53" s="223">
        <f t="shared" si="20"/>
        <v>0</v>
      </c>
      <c r="M53" s="223">
        <f t="shared" si="20"/>
        <v>0</v>
      </c>
      <c r="N53" s="223">
        <f t="shared" si="20"/>
        <v>0</v>
      </c>
      <c r="O53" s="223">
        <f t="shared" si="20"/>
        <v>0</v>
      </c>
      <c r="P53" s="223">
        <f t="shared" si="20"/>
        <v>0</v>
      </c>
      <c r="Q53" s="223">
        <f t="shared" si="20"/>
        <v>0</v>
      </c>
    </row>
    <row r="54" spans="3:17" s="13" customFormat="1" collapsed="1">
      <c r="D54" s="165" t="s">
        <v>271</v>
      </c>
      <c r="J54" s="121">
        <f t="shared" ref="J54:Q54" si="21">J51*J57/(J$9-J$8+1)</f>
        <v>0</v>
      </c>
      <c r="K54" s="121">
        <f t="shared" si="21"/>
        <v>0</v>
      </c>
      <c r="L54" s="121">
        <f t="shared" si="21"/>
        <v>0</v>
      </c>
      <c r="M54" s="121">
        <f t="shared" si="21"/>
        <v>0</v>
      </c>
      <c r="N54" s="121">
        <f t="shared" si="21"/>
        <v>0</v>
      </c>
      <c r="O54" s="121">
        <f t="shared" si="21"/>
        <v>0</v>
      </c>
      <c r="P54" s="121">
        <f t="shared" si="21"/>
        <v>0</v>
      </c>
      <c r="Q54" s="121">
        <f t="shared" si="21"/>
        <v>0</v>
      </c>
    </row>
    <row r="55" spans="3:17" s="13" customFormat="1"/>
    <row r="56" spans="3:17" s="13" customFormat="1">
      <c r="D56" s="222" t="str">
        <f>"Closing Balance Periodic Growth (% per "&amp;INDEX(LU_Period_Type_Names,MATCH(TS_Periodicity,LU_Periodicity,0))&amp;")"</f>
        <v>Closing Balance Periodic Growth (% per Year)</v>
      </c>
      <c r="K56" s="221" t="str">
        <f t="shared" ref="K56:Q56" si="22">IF(ISERROR(K54/J54),"N/A",
ROUND(K54/J54-1,5))</f>
        <v>N/A</v>
      </c>
      <c r="L56" s="221" t="str">
        <f t="shared" si="22"/>
        <v>N/A</v>
      </c>
      <c r="M56" s="221" t="str">
        <f t="shared" si="22"/>
        <v>N/A</v>
      </c>
      <c r="N56" s="221" t="str">
        <f t="shared" si="22"/>
        <v>N/A</v>
      </c>
      <c r="O56" s="221" t="str">
        <f t="shared" si="22"/>
        <v>N/A</v>
      </c>
      <c r="P56" s="221" t="str">
        <f t="shared" si="22"/>
        <v>N/A</v>
      </c>
      <c r="Q56" s="221" t="str">
        <f t="shared" si="22"/>
        <v>N/A</v>
      </c>
    </row>
    <row r="57" spans="3:17" s="13" customFormat="1">
      <c r="D57" s="220" t="s">
        <v>418</v>
      </c>
      <c r="J57" s="219">
        <f>Fcast_TA!J19</f>
        <v>45</v>
      </c>
      <c r="K57" s="219">
        <f>Fcast_TA!K19</f>
        <v>45</v>
      </c>
      <c r="L57" s="219">
        <f>Fcast_TA!L19</f>
        <v>45</v>
      </c>
      <c r="M57" s="219">
        <f>Fcast_TA!M19</f>
        <v>45</v>
      </c>
      <c r="N57" s="219">
        <f>Fcast_TA!N19</f>
        <v>45</v>
      </c>
      <c r="O57" s="219">
        <f>Fcast_TA!O19</f>
        <v>45</v>
      </c>
      <c r="P57" s="219">
        <f>Fcast_TA!P19</f>
        <v>45</v>
      </c>
      <c r="Q57" s="219">
        <f>Fcast_TA!Q19</f>
        <v>45</v>
      </c>
    </row>
    <row r="59" spans="3:17" hidden="1" outlineLevel="2">
      <c r="E59" s="164" t="s">
        <v>143</v>
      </c>
      <c r="J59" s="92">
        <f t="shared" ref="J59:Q59" si="23">IF(ISERROR(J50+J53-J54),1,0)</f>
        <v>0</v>
      </c>
      <c r="K59" s="92">
        <f t="shared" si="23"/>
        <v>0</v>
      </c>
      <c r="L59" s="92">
        <f t="shared" si="23"/>
        <v>0</v>
      </c>
      <c r="M59" s="92">
        <f t="shared" si="23"/>
        <v>0</v>
      </c>
      <c r="N59" s="92">
        <f t="shared" si="23"/>
        <v>0</v>
      </c>
      <c r="O59" s="92">
        <f t="shared" si="23"/>
        <v>0</v>
      </c>
      <c r="P59" s="92">
        <f t="shared" si="23"/>
        <v>0</v>
      </c>
      <c r="Q59" s="92">
        <f t="shared" si="23"/>
        <v>0</v>
      </c>
    </row>
    <row r="60" spans="3:17" hidden="1" outlineLevel="2">
      <c r="E60" s="164" t="s">
        <v>144</v>
      </c>
      <c r="J60" s="99">
        <f t="shared" ref="J60:Q60" si="24">IF(J59&lt;&gt;0,0,(ROUND(J50+J53-J54,5)&lt;&gt;0)*1)</f>
        <v>0</v>
      </c>
      <c r="K60" s="99">
        <f t="shared" si="24"/>
        <v>0</v>
      </c>
      <c r="L60" s="99">
        <f t="shared" si="24"/>
        <v>0</v>
      </c>
      <c r="M60" s="99">
        <f t="shared" si="24"/>
        <v>0</v>
      </c>
      <c r="N60" s="99">
        <f t="shared" si="24"/>
        <v>0</v>
      </c>
      <c r="O60" s="99">
        <f t="shared" si="24"/>
        <v>0</v>
      </c>
      <c r="P60" s="99">
        <f t="shared" si="24"/>
        <v>0</v>
      </c>
      <c r="Q60" s="99">
        <f t="shared" si="24"/>
        <v>0</v>
      </c>
    </row>
    <row r="61" spans="3:17" hidden="1" outlineLevel="2">
      <c r="E61" s="164" t="s">
        <v>148</v>
      </c>
      <c r="J61" s="99">
        <f t="shared" ref="J61:Q61" si="25">IF(ISERROR(J52),0,(ROUND(MAX(J52),5)&gt;0)*1)</f>
        <v>0</v>
      </c>
      <c r="K61" s="99">
        <f t="shared" si="25"/>
        <v>0</v>
      </c>
      <c r="L61" s="99">
        <f t="shared" si="25"/>
        <v>0</v>
      </c>
      <c r="M61" s="99">
        <f t="shared" si="25"/>
        <v>0</v>
      </c>
      <c r="N61" s="99">
        <f t="shared" si="25"/>
        <v>0</v>
      </c>
      <c r="O61" s="99">
        <f t="shared" si="25"/>
        <v>0</v>
      </c>
      <c r="P61" s="99">
        <f t="shared" si="25"/>
        <v>0</v>
      </c>
      <c r="Q61" s="99">
        <f t="shared" si="25"/>
        <v>0</v>
      </c>
    </row>
    <row r="62" spans="3:17" hidden="1" outlineLevel="2">
      <c r="E62" s="164" t="s">
        <v>146</v>
      </c>
      <c r="J62" s="119">
        <f t="shared" ref="J62:Q62" si="26">IF(ISERROR(J54),0,(ROUND(MIN(J54),5)&lt;0)*1)</f>
        <v>0</v>
      </c>
      <c r="K62" s="119">
        <f t="shared" si="26"/>
        <v>0</v>
      </c>
      <c r="L62" s="119">
        <f t="shared" si="26"/>
        <v>0</v>
      </c>
      <c r="M62" s="119">
        <f t="shared" si="26"/>
        <v>0</v>
      </c>
      <c r="N62" s="119">
        <f t="shared" si="26"/>
        <v>0</v>
      </c>
      <c r="O62" s="119">
        <f t="shared" si="26"/>
        <v>0</v>
      </c>
      <c r="P62" s="119">
        <f t="shared" si="26"/>
        <v>0</v>
      </c>
      <c r="Q62" s="119">
        <f t="shared" si="26"/>
        <v>0</v>
      </c>
    </row>
    <row r="63" spans="3:17" collapsed="1">
      <c r="D63" s="164" t="s">
        <v>272</v>
      </c>
      <c r="I63" s="95">
        <f>IF(ISERROR(SUM(J63:Q63)),0,MIN(SUM(J63:Q63),1))</f>
        <v>0</v>
      </c>
      <c r="J63" s="92">
        <f>MIN(SUM(J59:J62),1)</f>
        <v>0</v>
      </c>
      <c r="K63" s="92">
        <f t="shared" ref="K63:Q63" si="27">MIN(SUM(K59:K62),1)</f>
        <v>0</v>
      </c>
      <c r="L63" s="92">
        <f t="shared" si="27"/>
        <v>0</v>
      </c>
      <c r="M63" s="92">
        <f t="shared" si="27"/>
        <v>0</v>
      </c>
      <c r="N63" s="92">
        <f t="shared" si="27"/>
        <v>0</v>
      </c>
      <c r="O63" s="92">
        <f t="shared" si="27"/>
        <v>0</v>
      </c>
      <c r="P63" s="92">
        <f t="shared" si="27"/>
        <v>0</v>
      </c>
      <c r="Q63" s="92">
        <f t="shared" si="27"/>
        <v>0</v>
      </c>
    </row>
    <row r="65" spans="2:17" s="13" customFormat="1">
      <c r="C65" s="179" t="s">
        <v>118</v>
      </c>
      <c r="D65" s="21"/>
    </row>
    <row r="66" spans="2:17" s="13" customFormat="1">
      <c r="C66" s="132">
        <v>1</v>
      </c>
      <c r="D66" s="180" t="s">
        <v>395</v>
      </c>
    </row>
    <row r="67" spans="2:17" s="13" customFormat="1">
      <c r="C67" s="132">
        <v>2</v>
      </c>
      <c r="D67" s="183" t="str">
        <f>"Working capital amounts are specified in "&amp;INDEX(LU_Denom,DD_TS_Denom)&amp;"."</f>
        <v>Working capital amounts are specified in $Millions.</v>
      </c>
    </row>
    <row r="69" spans="2:17" s="13" customFormat="1"/>
    <row r="70" spans="2:17" s="13" customFormat="1" ht="12.75">
      <c r="B70" s="115" t="s">
        <v>267</v>
      </c>
    </row>
    <row r="71" spans="2:17" s="13" customFormat="1"/>
    <row r="72" spans="2:17" s="13" customFormat="1" ht="11.25">
      <c r="C72" s="120" t="str">
        <f>"Assets Balances ("&amp;INDEX(LU_Denom,DD_TS_Denom)&amp;")"</f>
        <v>Assets Balances ($Millions)</v>
      </c>
    </row>
    <row r="73" spans="2:17" s="13" customFormat="1"/>
    <row r="74" spans="2:17" s="13" customFormat="1">
      <c r="D74" s="164" t="s">
        <v>149</v>
      </c>
      <c r="J74" s="91">
        <f>IF(J$12=1,Fcast_TA!$I$30,I78)</f>
        <v>145</v>
      </c>
      <c r="K74" s="91">
        <f>IF(K$12=1,Fcast_TA!$I$30,J78)</f>
        <v>145</v>
      </c>
      <c r="L74" s="91">
        <f>IF(L$12=1,Fcast_TA!$I$30,K78)</f>
        <v>145</v>
      </c>
      <c r="M74" s="91">
        <f>IF(M$12=1,Fcast_TA!$I$30,L78)</f>
        <v>145</v>
      </c>
      <c r="N74" s="91">
        <f>IF(N$12=1,Fcast_TA!$I$30,M78)</f>
        <v>145</v>
      </c>
      <c r="O74" s="91">
        <f>IF(O$12=1,Fcast_TA!$I$30,N78)</f>
        <v>145</v>
      </c>
      <c r="P74" s="91">
        <f>IF(P$12=1,Fcast_TA!$I$30,O78)</f>
        <v>145</v>
      </c>
      <c r="Q74" s="91">
        <f>IF(Q$12=1,Fcast_TA!$I$30,P78)</f>
        <v>145</v>
      </c>
    </row>
    <row r="75" spans="2:17" s="13" customFormat="1">
      <c r="D75" s="5" t="str">
        <f>C21</f>
        <v>Capital Expenditure - Assets</v>
      </c>
      <c r="J75" s="91">
        <f>J21</f>
        <v>0</v>
      </c>
      <c r="K75" s="91">
        <f t="shared" ref="K75:Q75" si="28">K21</f>
        <v>0</v>
      </c>
      <c r="L75" s="91">
        <f t="shared" si="28"/>
        <v>0</v>
      </c>
      <c r="M75" s="91">
        <f t="shared" si="28"/>
        <v>0</v>
      </c>
      <c r="N75" s="91">
        <f t="shared" si="28"/>
        <v>0</v>
      </c>
      <c r="O75" s="91">
        <f t="shared" si="28"/>
        <v>0</v>
      </c>
      <c r="P75" s="91">
        <f t="shared" si="28"/>
        <v>0</v>
      </c>
      <c r="Q75" s="91">
        <f t="shared" si="28"/>
        <v>0</v>
      </c>
    </row>
    <row r="76" spans="2:17" s="13" customFormat="1" hidden="1" outlineLevel="2">
      <c r="D76" s="164" t="s">
        <v>333</v>
      </c>
      <c r="J76" s="114">
        <f>Fcast_TA!J30</f>
        <v>0.9</v>
      </c>
      <c r="K76" s="114">
        <f>Fcast_TA!K30</f>
        <v>0.9</v>
      </c>
      <c r="L76" s="114">
        <f>Fcast_TA!L30</f>
        <v>0.9</v>
      </c>
      <c r="M76" s="114">
        <f>Fcast_TA!M30</f>
        <v>0.9</v>
      </c>
      <c r="N76" s="114">
        <f>Fcast_TA!N30</f>
        <v>0.9</v>
      </c>
      <c r="O76" s="114">
        <f>Fcast_TA!O30</f>
        <v>0.9</v>
      </c>
      <c r="P76" s="114">
        <f>Fcast_TA!P30</f>
        <v>0.9</v>
      </c>
      <c r="Q76" s="114">
        <f>Fcast_TA!Q30</f>
        <v>0.9</v>
      </c>
    </row>
    <row r="77" spans="2:17" s="18" customFormat="1" collapsed="1">
      <c r="D77" s="225" t="s">
        <v>275</v>
      </c>
      <c r="J77" s="224">
        <f t="shared" ref="J77:Q77" si="29">-J75*J76</f>
        <v>0</v>
      </c>
      <c r="K77" s="224">
        <f t="shared" si="29"/>
        <v>0</v>
      </c>
      <c r="L77" s="224">
        <f t="shared" si="29"/>
        <v>0</v>
      </c>
      <c r="M77" s="224">
        <f t="shared" si="29"/>
        <v>0</v>
      </c>
      <c r="N77" s="224">
        <f t="shared" si="29"/>
        <v>0</v>
      </c>
      <c r="O77" s="224">
        <f t="shared" si="29"/>
        <v>0</v>
      </c>
      <c r="P77" s="224">
        <f t="shared" si="29"/>
        <v>0</v>
      </c>
      <c r="Q77" s="224">
        <f t="shared" si="29"/>
        <v>0</v>
      </c>
    </row>
    <row r="78" spans="2:17" s="13" customFormat="1">
      <c r="D78" s="165" t="s">
        <v>271</v>
      </c>
      <c r="J78" s="121">
        <f t="shared" ref="J78:Q78" si="30">J74+J75+J77</f>
        <v>145</v>
      </c>
      <c r="K78" s="121">
        <f t="shared" si="30"/>
        <v>145</v>
      </c>
      <c r="L78" s="121">
        <f t="shared" si="30"/>
        <v>145</v>
      </c>
      <c r="M78" s="121">
        <f t="shared" si="30"/>
        <v>145</v>
      </c>
      <c r="N78" s="121">
        <f t="shared" si="30"/>
        <v>145</v>
      </c>
      <c r="O78" s="121">
        <f t="shared" si="30"/>
        <v>145</v>
      </c>
      <c r="P78" s="121">
        <f t="shared" si="30"/>
        <v>145</v>
      </c>
      <c r="Q78" s="121">
        <f t="shared" si="30"/>
        <v>145</v>
      </c>
    </row>
    <row r="79" spans="2:17" s="13" customFormat="1"/>
    <row r="80" spans="2:17" s="13" customFormat="1" hidden="1" outlineLevel="2">
      <c r="E80" s="164" t="s">
        <v>143</v>
      </c>
      <c r="J80" s="92">
        <f t="shared" ref="J80:Q80" si="31">IF(ISERROR(J78-(J74+J75+J77)),1,0)</f>
        <v>0</v>
      </c>
      <c r="K80" s="92">
        <f t="shared" si="31"/>
        <v>0</v>
      </c>
      <c r="L80" s="92">
        <f t="shared" si="31"/>
        <v>0</v>
      </c>
      <c r="M80" s="92">
        <f t="shared" si="31"/>
        <v>0</v>
      </c>
      <c r="N80" s="92">
        <f t="shared" si="31"/>
        <v>0</v>
      </c>
      <c r="O80" s="92">
        <f t="shared" si="31"/>
        <v>0</v>
      </c>
      <c r="P80" s="92">
        <f t="shared" si="31"/>
        <v>0</v>
      </c>
      <c r="Q80" s="92">
        <f t="shared" si="31"/>
        <v>0</v>
      </c>
    </row>
    <row r="81" spans="3:17" s="13" customFormat="1" hidden="1" outlineLevel="2">
      <c r="E81" s="164" t="s">
        <v>144</v>
      </c>
      <c r="J81" s="119">
        <f t="shared" ref="J81:Q81" si="32">IF(J80&lt;&gt;0,0,(ROUND(J78-(J74+J75+J77),5)&lt;&gt;0)*1)</f>
        <v>0</v>
      </c>
      <c r="K81" s="119">
        <f t="shared" si="32"/>
        <v>0</v>
      </c>
      <c r="L81" s="119">
        <f t="shared" si="32"/>
        <v>0</v>
      </c>
      <c r="M81" s="119">
        <f t="shared" si="32"/>
        <v>0</v>
      </c>
      <c r="N81" s="119">
        <f t="shared" si="32"/>
        <v>0</v>
      </c>
      <c r="O81" s="119">
        <f t="shared" si="32"/>
        <v>0</v>
      </c>
      <c r="P81" s="119">
        <f t="shared" si="32"/>
        <v>0</v>
      </c>
      <c r="Q81" s="119">
        <f t="shared" si="32"/>
        <v>0</v>
      </c>
    </row>
    <row r="82" spans="3:17" s="13" customFormat="1" collapsed="1">
      <c r="D82" s="164" t="s">
        <v>272</v>
      </c>
      <c r="I82" s="95">
        <f>IF(ISERROR(SUM(J82:Q82)),0,MIN(SUM(J82:Q82),1))</f>
        <v>0</v>
      </c>
      <c r="J82" s="92">
        <f>MIN(SUM(J80:J81),1)</f>
        <v>0</v>
      </c>
      <c r="K82" s="92">
        <f t="shared" ref="K82:Q82" si="33">MIN(SUM(K80:K81),1)</f>
        <v>0</v>
      </c>
      <c r="L82" s="92">
        <f t="shared" si="33"/>
        <v>0</v>
      </c>
      <c r="M82" s="92">
        <f t="shared" si="33"/>
        <v>0</v>
      </c>
      <c r="N82" s="92">
        <f t="shared" si="33"/>
        <v>0</v>
      </c>
      <c r="O82" s="92">
        <f t="shared" si="33"/>
        <v>0</v>
      </c>
      <c r="P82" s="92">
        <f t="shared" si="33"/>
        <v>0</v>
      </c>
      <c r="Q82" s="92">
        <f t="shared" si="33"/>
        <v>0</v>
      </c>
    </row>
    <row r="83" spans="3:17" s="13" customFormat="1"/>
    <row r="84" spans="3:17" s="13" customFormat="1" ht="11.25">
      <c r="C84" s="120" t="str">
        <f>"Intangibles Balances ("&amp;INDEX(LU_Denom,DD_TS_Denom)&amp;")"</f>
        <v>Intangibles Balances ($Millions)</v>
      </c>
    </row>
    <row r="85" spans="3:17" s="13" customFormat="1"/>
    <row r="86" spans="3:17" s="13" customFormat="1">
      <c r="D86" s="164" t="s">
        <v>149</v>
      </c>
      <c r="J86" s="91">
        <f>IF(J$12=1,Fcast_TA!$I$31,I90)</f>
        <v>11.5</v>
      </c>
      <c r="K86" s="91">
        <f>IF(K$12=1,Fcast_TA!$I$31,J90)</f>
        <v>11.5</v>
      </c>
      <c r="L86" s="91">
        <f>IF(L$12=1,Fcast_TA!$I$31,K90)</f>
        <v>11.5</v>
      </c>
      <c r="M86" s="91">
        <f>IF(M$12=1,Fcast_TA!$I$31,L90)</f>
        <v>11.5</v>
      </c>
      <c r="N86" s="91">
        <f>IF(N$12=1,Fcast_TA!$I$31,M90)</f>
        <v>11.5</v>
      </c>
      <c r="O86" s="91">
        <f>IF(O$12=1,Fcast_TA!$I$31,N90)</f>
        <v>11.5</v>
      </c>
      <c r="P86" s="91">
        <f>IF(P$12=1,Fcast_TA!$I$31,O90)</f>
        <v>11.5</v>
      </c>
      <c r="Q86" s="91">
        <f>IF(Q$12=1,Fcast_TA!$I$31,P90)</f>
        <v>11.5</v>
      </c>
    </row>
    <row r="87" spans="3:17" s="13" customFormat="1">
      <c r="D87" s="5" t="str">
        <f>C22</f>
        <v>Capital Expenditure - Intangibles</v>
      </c>
      <c r="J87" s="91">
        <f>J22</f>
        <v>0</v>
      </c>
      <c r="K87" s="91">
        <f t="shared" ref="K87:Q87" si="34">K22</f>
        <v>0</v>
      </c>
      <c r="L87" s="91">
        <f t="shared" si="34"/>
        <v>0</v>
      </c>
      <c r="M87" s="91">
        <f t="shared" si="34"/>
        <v>0</v>
      </c>
      <c r="N87" s="91">
        <f t="shared" si="34"/>
        <v>0</v>
      </c>
      <c r="O87" s="91">
        <f t="shared" si="34"/>
        <v>0</v>
      </c>
      <c r="P87" s="91">
        <f t="shared" si="34"/>
        <v>0</v>
      </c>
      <c r="Q87" s="91">
        <f t="shared" si="34"/>
        <v>0</v>
      </c>
    </row>
    <row r="88" spans="3:17" s="13" customFormat="1" hidden="1" outlineLevel="2">
      <c r="D88" s="164" t="s">
        <v>334</v>
      </c>
      <c r="J88" s="114">
        <f>Fcast_TA!J31</f>
        <v>0.25</v>
      </c>
      <c r="K88" s="114">
        <f>Fcast_TA!K31</f>
        <v>0.25</v>
      </c>
      <c r="L88" s="114">
        <f>Fcast_TA!L31</f>
        <v>0.25</v>
      </c>
      <c r="M88" s="114">
        <f>Fcast_TA!M31</f>
        <v>0.25</v>
      </c>
      <c r="N88" s="114">
        <f>Fcast_TA!N31</f>
        <v>0.25</v>
      </c>
      <c r="O88" s="114">
        <f>Fcast_TA!O31</f>
        <v>0.25</v>
      </c>
      <c r="P88" s="114">
        <f>Fcast_TA!P31</f>
        <v>0.25</v>
      </c>
      <c r="Q88" s="114">
        <f>Fcast_TA!Q31</f>
        <v>0.25</v>
      </c>
    </row>
    <row r="89" spans="3:17" s="18" customFormat="1" collapsed="1">
      <c r="D89" s="225" t="s">
        <v>335</v>
      </c>
      <c r="J89" s="224">
        <f t="shared" ref="J89:Q89" si="35">-J87*J88</f>
        <v>0</v>
      </c>
      <c r="K89" s="224">
        <f t="shared" si="35"/>
        <v>0</v>
      </c>
      <c r="L89" s="224">
        <f t="shared" si="35"/>
        <v>0</v>
      </c>
      <c r="M89" s="224">
        <f t="shared" si="35"/>
        <v>0</v>
      </c>
      <c r="N89" s="224">
        <f t="shared" si="35"/>
        <v>0</v>
      </c>
      <c r="O89" s="224">
        <f t="shared" si="35"/>
        <v>0</v>
      </c>
      <c r="P89" s="224">
        <f t="shared" si="35"/>
        <v>0</v>
      </c>
      <c r="Q89" s="224">
        <f t="shared" si="35"/>
        <v>0</v>
      </c>
    </row>
    <row r="90" spans="3:17" s="13" customFormat="1">
      <c r="D90" s="165" t="s">
        <v>271</v>
      </c>
      <c r="J90" s="121">
        <f t="shared" ref="J90:Q90" si="36">J86+J87+J89</f>
        <v>11.5</v>
      </c>
      <c r="K90" s="121">
        <f t="shared" si="36"/>
        <v>11.5</v>
      </c>
      <c r="L90" s="121">
        <f t="shared" si="36"/>
        <v>11.5</v>
      </c>
      <c r="M90" s="121">
        <f t="shared" si="36"/>
        <v>11.5</v>
      </c>
      <c r="N90" s="121">
        <f t="shared" si="36"/>
        <v>11.5</v>
      </c>
      <c r="O90" s="121">
        <f t="shared" si="36"/>
        <v>11.5</v>
      </c>
      <c r="P90" s="121">
        <f t="shared" si="36"/>
        <v>11.5</v>
      </c>
      <c r="Q90" s="121">
        <f t="shared" si="36"/>
        <v>11.5</v>
      </c>
    </row>
    <row r="91" spans="3:17" s="13" customFormat="1"/>
    <row r="92" spans="3:17" s="13" customFormat="1" hidden="1" outlineLevel="2">
      <c r="E92" s="164" t="s">
        <v>143</v>
      </c>
      <c r="J92" s="92">
        <f t="shared" ref="J92:Q92" si="37">IF(ISERROR(J90-(J86+J87+J89)),1,0)</f>
        <v>0</v>
      </c>
      <c r="K92" s="92">
        <f t="shared" si="37"/>
        <v>0</v>
      </c>
      <c r="L92" s="92">
        <f t="shared" si="37"/>
        <v>0</v>
      </c>
      <c r="M92" s="92">
        <f t="shared" si="37"/>
        <v>0</v>
      </c>
      <c r="N92" s="92">
        <f t="shared" si="37"/>
        <v>0</v>
      </c>
      <c r="O92" s="92">
        <f t="shared" si="37"/>
        <v>0</v>
      </c>
      <c r="P92" s="92">
        <f t="shared" si="37"/>
        <v>0</v>
      </c>
      <c r="Q92" s="92">
        <f t="shared" si="37"/>
        <v>0</v>
      </c>
    </row>
    <row r="93" spans="3:17" s="13" customFormat="1" hidden="1" outlineLevel="2">
      <c r="E93" s="164" t="s">
        <v>144</v>
      </c>
      <c r="J93" s="119">
        <f t="shared" ref="J93:Q93" si="38">IF(J92&lt;&gt;0,0,(ROUND(J90-(J86+J87+J89),5)&lt;&gt;0)*1)</f>
        <v>0</v>
      </c>
      <c r="K93" s="119">
        <f t="shared" si="38"/>
        <v>0</v>
      </c>
      <c r="L93" s="119">
        <f t="shared" si="38"/>
        <v>0</v>
      </c>
      <c r="M93" s="119">
        <f t="shared" si="38"/>
        <v>0</v>
      </c>
      <c r="N93" s="119">
        <f t="shared" si="38"/>
        <v>0</v>
      </c>
      <c r="O93" s="119">
        <f t="shared" si="38"/>
        <v>0</v>
      </c>
      <c r="P93" s="119">
        <f t="shared" si="38"/>
        <v>0</v>
      </c>
      <c r="Q93" s="119">
        <f t="shared" si="38"/>
        <v>0</v>
      </c>
    </row>
    <row r="94" spans="3:17" s="13" customFormat="1" collapsed="1">
      <c r="D94" s="164" t="s">
        <v>272</v>
      </c>
      <c r="I94" s="95">
        <f>IF(ISERROR(SUM(J94:Q94)),0,MIN(SUM(J94:Q94),1))</f>
        <v>0</v>
      </c>
      <c r="J94" s="92">
        <f>MIN(SUM(J92:J93),1)</f>
        <v>0</v>
      </c>
      <c r="K94" s="92">
        <f t="shared" ref="K94:Q94" si="39">MIN(SUM(K92:K93),1)</f>
        <v>0</v>
      </c>
      <c r="L94" s="92">
        <f t="shared" si="39"/>
        <v>0</v>
      </c>
      <c r="M94" s="92">
        <f t="shared" si="39"/>
        <v>0</v>
      </c>
      <c r="N94" s="92">
        <f t="shared" si="39"/>
        <v>0</v>
      </c>
      <c r="O94" s="92">
        <f t="shared" si="39"/>
        <v>0</v>
      </c>
      <c r="P94" s="92">
        <f t="shared" si="39"/>
        <v>0</v>
      </c>
      <c r="Q94" s="92">
        <f t="shared" si="39"/>
        <v>0</v>
      </c>
    </row>
    <row r="96" spans="3:17">
      <c r="C96" s="179" t="s">
        <v>118</v>
      </c>
      <c r="D96" s="21"/>
    </row>
    <row r="97" spans="2:17" s="13" customFormat="1">
      <c r="C97" s="132">
        <v>1</v>
      </c>
      <c r="D97" s="180" t="s">
        <v>396</v>
      </c>
    </row>
    <row r="98" spans="2:17" s="13" customFormat="1">
      <c r="C98" s="132">
        <v>2</v>
      </c>
      <c r="D98" s="183" t="str">
        <f>"Asset balances are specified in "&amp;INDEX(LU_Denom,DD_TS_Denom)&amp;"."</f>
        <v>Asset balances are specified in $Millions.</v>
      </c>
    </row>
    <row r="99" spans="2:17" s="13" customFormat="1"/>
    <row r="100" spans="2:17" s="13" customFormat="1"/>
    <row r="101" spans="2:17" ht="12.75">
      <c r="B101" s="115" t="s">
        <v>268</v>
      </c>
    </row>
    <row r="103" spans="2:17" s="13" customFormat="1" ht="11.25">
      <c r="C103" s="90" t="s">
        <v>339</v>
      </c>
    </row>
    <row r="104" spans="2:17" s="13" customFormat="1" ht="11.25">
      <c r="C104" s="90"/>
    </row>
    <row r="105" spans="2:17">
      <c r="D105" s="4" t="str">
        <f>Fcast_TA!$D$41</f>
        <v>Funds Drawn ($Millions)</v>
      </c>
    </row>
    <row r="107" spans="2:17">
      <c r="E107" s="5" t="str">
        <f>Fcast_TA!E43</f>
        <v>Opening Balance</v>
      </c>
      <c r="J107" s="91">
        <f>IF(J$12=1,Fcast_TA!$J$43,I110)</f>
        <v>50</v>
      </c>
      <c r="K107" s="91">
        <f>IF(K$12=1,Fcast_TA!$J$43,J110)</f>
        <v>50</v>
      </c>
      <c r="L107" s="91">
        <f>IF(L$12=1,Fcast_TA!$J$43,K110)</f>
        <v>50</v>
      </c>
      <c r="M107" s="91">
        <f>IF(M$12=1,Fcast_TA!$J$43,L110)</f>
        <v>50</v>
      </c>
      <c r="N107" s="91">
        <f>IF(N$12=1,Fcast_TA!$J$43,M110)</f>
        <v>50</v>
      </c>
      <c r="O107" s="91">
        <f>IF(O$12=1,Fcast_TA!$J$43,N110)</f>
        <v>55</v>
      </c>
      <c r="P107" s="91">
        <f>IF(P$12=1,Fcast_TA!$J$43,O110)</f>
        <v>55</v>
      </c>
      <c r="Q107" s="91">
        <f>IF(Q$12=1,Fcast_TA!$J$43,P110)</f>
        <v>55</v>
      </c>
    </row>
    <row r="108" spans="2:17">
      <c r="E108" s="5" t="str">
        <f>Fcast_TA!E44</f>
        <v>Debt Drawdowns</v>
      </c>
      <c r="J108" s="91">
        <f>Fcast_TA!J44</f>
        <v>0</v>
      </c>
      <c r="K108" s="91">
        <f>Fcast_TA!K44</f>
        <v>0</v>
      </c>
      <c r="L108" s="91">
        <f>Fcast_TA!L44</f>
        <v>0</v>
      </c>
      <c r="M108" s="91">
        <f>Fcast_TA!M44</f>
        <v>0</v>
      </c>
      <c r="N108" s="91">
        <f>Fcast_TA!N44</f>
        <v>50</v>
      </c>
      <c r="O108" s="91">
        <f>Fcast_TA!O44</f>
        <v>0</v>
      </c>
      <c r="P108" s="91">
        <f>Fcast_TA!P44</f>
        <v>0</v>
      </c>
      <c r="Q108" s="91">
        <f>Fcast_TA!Q44</f>
        <v>0</v>
      </c>
    </row>
    <row r="109" spans="2:17">
      <c r="E109" s="5" t="str">
        <f>Fcast_TA!E45</f>
        <v>Debt Repayments</v>
      </c>
      <c r="J109" s="93">
        <f>-Fcast_TA!J45</f>
        <v>0</v>
      </c>
      <c r="K109" s="93">
        <f>-Fcast_TA!K45</f>
        <v>0</v>
      </c>
      <c r="L109" s="93">
        <f>-Fcast_TA!L45</f>
        <v>0</v>
      </c>
      <c r="M109" s="93">
        <f>-Fcast_TA!M45</f>
        <v>0</v>
      </c>
      <c r="N109" s="93">
        <f>-Fcast_TA!N45</f>
        <v>-45</v>
      </c>
      <c r="O109" s="93">
        <f>-Fcast_TA!O45</f>
        <v>0</v>
      </c>
      <c r="P109" s="93">
        <f>-Fcast_TA!P45</f>
        <v>0</v>
      </c>
      <c r="Q109" s="93">
        <f>-Fcast_TA!Q45</f>
        <v>0</v>
      </c>
    </row>
    <row r="110" spans="2:17">
      <c r="E110" s="4" t="str">
        <f>Fcast_TA!E46</f>
        <v>Closing Debt Balance</v>
      </c>
      <c r="J110" s="94">
        <f>SUM(J107:J109)</f>
        <v>50</v>
      </c>
      <c r="K110" s="94">
        <f t="shared" ref="K110:Q110" si="40">SUM(K107:K109)</f>
        <v>50</v>
      </c>
      <c r="L110" s="94">
        <f t="shared" si="40"/>
        <v>50</v>
      </c>
      <c r="M110" s="94">
        <f t="shared" si="40"/>
        <v>50</v>
      </c>
      <c r="N110" s="94">
        <f t="shared" si="40"/>
        <v>55</v>
      </c>
      <c r="O110" s="94">
        <f t="shared" si="40"/>
        <v>55</v>
      </c>
      <c r="P110" s="94">
        <f t="shared" si="40"/>
        <v>55</v>
      </c>
      <c r="Q110" s="94">
        <f t="shared" si="40"/>
        <v>55</v>
      </c>
    </row>
    <row r="112" spans="2:17">
      <c r="D112" s="4" t="str">
        <f>Fcast_TA!$D$50</f>
        <v>Interest Expense</v>
      </c>
    </row>
    <row r="114" spans="5:17">
      <c r="E114" s="5" t="str">
        <f>Fcast_TA!E54</f>
        <v>Base Interest Rate (% p.a.)</v>
      </c>
      <c r="J114" s="125">
        <f>Fcast_TA!J54</f>
        <v>0.05</v>
      </c>
      <c r="K114" s="125">
        <f>Fcast_TA!K54</f>
        <v>0.05</v>
      </c>
      <c r="L114" s="125">
        <f>Fcast_TA!L54</f>
        <v>0.05</v>
      </c>
      <c r="M114" s="125">
        <f>Fcast_TA!M54</f>
        <v>0.05</v>
      </c>
      <c r="N114" s="125">
        <f>Fcast_TA!N54</f>
        <v>0.05</v>
      </c>
      <c r="O114" s="125">
        <f>Fcast_TA!O54</f>
        <v>0.05</v>
      </c>
      <c r="P114" s="125">
        <f>Fcast_TA!P54</f>
        <v>0.05</v>
      </c>
      <c r="Q114" s="125">
        <f>Fcast_TA!Q54</f>
        <v>0.05</v>
      </c>
    </row>
    <row r="115" spans="5:17">
      <c r="E115" s="5" t="str">
        <f>Fcast_TA!E55</f>
        <v>Margin (% p.a.)</v>
      </c>
      <c r="J115" s="125">
        <f>Fcast_TA!J55</f>
        <v>1.4999999999999999E-2</v>
      </c>
      <c r="K115" s="125">
        <f>Fcast_TA!K55</f>
        <v>1.4999999999999999E-2</v>
      </c>
      <c r="L115" s="125">
        <f>Fcast_TA!L55</f>
        <v>1.4999999999999999E-2</v>
      </c>
      <c r="M115" s="125">
        <f>Fcast_TA!M55</f>
        <v>1.4999999999999999E-2</v>
      </c>
      <c r="N115" s="125">
        <f>Fcast_TA!N55</f>
        <v>1.4999999999999999E-2</v>
      </c>
      <c r="O115" s="125">
        <f>Fcast_TA!O55</f>
        <v>1.4999999999999999E-2</v>
      </c>
      <c r="P115" s="125">
        <f>Fcast_TA!P55</f>
        <v>1.4999999999999999E-2</v>
      </c>
      <c r="Q115" s="125">
        <f>Fcast_TA!Q55</f>
        <v>1.4999999999999999E-2</v>
      </c>
    </row>
    <row r="116" spans="5:17">
      <c r="E116" s="5" t="str">
        <f>Fcast_TA!E56</f>
        <v>All-In Interest Rate (% p.a.)</v>
      </c>
      <c r="J116" s="129">
        <f>SUM(J114:J115)</f>
        <v>6.5000000000000002E-2</v>
      </c>
      <c r="K116" s="129">
        <f t="shared" ref="K116:Q116" si="41">SUM(K114:K115)</f>
        <v>6.5000000000000002E-2</v>
      </c>
      <c r="L116" s="129">
        <f t="shared" si="41"/>
        <v>6.5000000000000002E-2</v>
      </c>
      <c r="M116" s="129">
        <f t="shared" si="41"/>
        <v>6.5000000000000002E-2</v>
      </c>
      <c r="N116" s="129">
        <f t="shared" si="41"/>
        <v>6.5000000000000002E-2</v>
      </c>
      <c r="O116" s="129">
        <f t="shared" si="41"/>
        <v>6.5000000000000002E-2</v>
      </c>
      <c r="P116" s="129">
        <f t="shared" si="41"/>
        <v>6.5000000000000002E-2</v>
      </c>
      <c r="Q116" s="129">
        <f t="shared" si="41"/>
        <v>6.5000000000000002E-2</v>
      </c>
    </row>
    <row r="118" spans="5:17" s="13" customFormat="1">
      <c r="E118" s="113" t="str">
        <f>Mth_Name&amp;"s in "&amp;CHOOSE(MATCH(TS_Periodicity,LU_Periodicity,0),
"Financial "&amp;Yr_Name,
Half_Yr_Name,
Qtr_Name,
Mth_Name)</f>
        <v>Months in Financial Year</v>
      </c>
      <c r="J118" s="135">
        <f t="shared" ref="J118:Q118" si="42">Mths_In_Yr/INDEX(LU_Pers_In_Yr,MATCH(TS_Periodicity,LU_Periodicity,0))</f>
        <v>12</v>
      </c>
      <c r="K118" s="135">
        <f t="shared" si="42"/>
        <v>12</v>
      </c>
      <c r="L118" s="135">
        <f t="shared" si="42"/>
        <v>12</v>
      </c>
      <c r="M118" s="135">
        <f t="shared" si="42"/>
        <v>12</v>
      </c>
      <c r="N118" s="135">
        <f t="shared" si="42"/>
        <v>12</v>
      </c>
      <c r="O118" s="135">
        <f t="shared" si="42"/>
        <v>12</v>
      </c>
      <c r="P118" s="135">
        <f t="shared" si="42"/>
        <v>12</v>
      </c>
      <c r="Q118" s="135">
        <f t="shared" si="42"/>
        <v>12</v>
      </c>
    </row>
    <row r="119" spans="5:17">
      <c r="E119" s="105" t="s">
        <v>160</v>
      </c>
      <c r="J119" s="114">
        <f t="shared" ref="J119:Q119" si="43">IF(J$12=1,IF(J$9=EOMONTH(J$9,0),(DAY(EOMONTH(J$8,0))-DAY(J$8)+1)/DAY(EOMONTH(J$8,0))+MONTH(J$9)-MONTH(J$8)+(YEAR(J$9)&lt;&gt;YEAR(J$8))*Mths_In_Yr,J118)/Mths_In_Yr,
1/(Mths_In_Yr/J118))</f>
        <v>1</v>
      </c>
      <c r="K119" s="114">
        <f t="shared" si="43"/>
        <v>1</v>
      </c>
      <c r="L119" s="114">
        <f t="shared" si="43"/>
        <v>1</v>
      </c>
      <c r="M119" s="114">
        <f t="shared" si="43"/>
        <v>1</v>
      </c>
      <c r="N119" s="114">
        <f t="shared" si="43"/>
        <v>1</v>
      </c>
      <c r="O119" s="114">
        <f t="shared" si="43"/>
        <v>1</v>
      </c>
      <c r="P119" s="114">
        <f t="shared" si="43"/>
        <v>1</v>
      </c>
      <c r="Q119" s="114">
        <f t="shared" si="43"/>
        <v>1</v>
      </c>
    </row>
    <row r="120" spans="5:17">
      <c r="E120" s="5" t="str">
        <f>Fcast_TA!$E$48</f>
        <v>Drawdowns/Repayments % into Period</v>
      </c>
      <c r="J120" s="114">
        <f>Fcast_TA!J48</f>
        <v>0.5</v>
      </c>
      <c r="K120" s="114">
        <f>Fcast_TA!K48</f>
        <v>0.5</v>
      </c>
      <c r="L120" s="114">
        <f>Fcast_TA!L48</f>
        <v>0.5</v>
      </c>
      <c r="M120" s="114">
        <f>Fcast_TA!M48</f>
        <v>0.5</v>
      </c>
      <c r="N120" s="114">
        <f>Fcast_TA!N48</f>
        <v>0.5</v>
      </c>
      <c r="O120" s="114">
        <f>Fcast_TA!O48</f>
        <v>0.5</v>
      </c>
      <c r="P120" s="114">
        <f>Fcast_TA!P48</f>
        <v>0.5</v>
      </c>
      <c r="Q120" s="114">
        <f>Fcast_TA!Q48</f>
        <v>0.5</v>
      </c>
    </row>
    <row r="121" spans="5:17">
      <c r="E121" s="105" t="s">
        <v>161</v>
      </c>
      <c r="J121" s="93">
        <f>J107*J120+(1-J120)*J110</f>
        <v>50</v>
      </c>
      <c r="K121" s="93">
        <f t="shared" ref="K121:Q121" si="44">K107*K120+(1-K120)*K110</f>
        <v>50</v>
      </c>
      <c r="L121" s="93">
        <f t="shared" si="44"/>
        <v>50</v>
      </c>
      <c r="M121" s="93">
        <f t="shared" si="44"/>
        <v>50</v>
      </c>
      <c r="N121" s="93">
        <f t="shared" si="44"/>
        <v>52.5</v>
      </c>
      <c r="O121" s="93">
        <f t="shared" si="44"/>
        <v>55</v>
      </c>
      <c r="P121" s="93">
        <f t="shared" si="44"/>
        <v>55</v>
      </c>
      <c r="Q121" s="93">
        <f t="shared" si="44"/>
        <v>55</v>
      </c>
    </row>
    <row r="122" spans="5:17">
      <c r="E122" s="162" t="s">
        <v>154</v>
      </c>
      <c r="J122" s="94">
        <f>J116*J119*J121</f>
        <v>3.25</v>
      </c>
      <c r="K122" s="94">
        <f t="shared" ref="K122:Q122" si="45">K116*K119*K121</f>
        <v>3.25</v>
      </c>
      <c r="L122" s="94">
        <f t="shared" si="45"/>
        <v>3.25</v>
      </c>
      <c r="M122" s="94">
        <f t="shared" si="45"/>
        <v>3.25</v>
      </c>
      <c r="N122" s="94">
        <f t="shared" si="45"/>
        <v>3.4125000000000001</v>
      </c>
      <c r="O122" s="94">
        <f t="shared" si="45"/>
        <v>3.5750000000000002</v>
      </c>
      <c r="P122" s="94">
        <f t="shared" si="45"/>
        <v>3.5750000000000002</v>
      </c>
      <c r="Q122" s="94">
        <f t="shared" si="45"/>
        <v>3.5750000000000002</v>
      </c>
    </row>
    <row r="124" spans="5:17">
      <c r="E124" s="5" t="str">
        <f>Fcast_TA!$E$52</f>
        <v>Opening Interest Payable</v>
      </c>
      <c r="J124" s="91">
        <f>IF(J$12=1,Fcast_TA!$J$52,I127)</f>
        <v>0</v>
      </c>
      <c r="K124" s="91">
        <f>IF(K$12=1,Fcast_TA!$J$52,J127)</f>
        <v>0</v>
      </c>
      <c r="L124" s="91">
        <f>IF(L$12=1,Fcast_TA!$J$52,K127)</f>
        <v>0</v>
      </c>
      <c r="M124" s="91">
        <f>IF(M$12=1,Fcast_TA!$J$52,L127)</f>
        <v>0</v>
      </c>
      <c r="N124" s="91">
        <f>IF(N$12=1,Fcast_TA!$J$52,M127)</f>
        <v>0</v>
      </c>
      <c r="O124" s="91">
        <f>IF(O$12=1,Fcast_TA!$J$52,N127)</f>
        <v>0</v>
      </c>
      <c r="P124" s="91">
        <f>IF(P$12=1,Fcast_TA!$J$52,O127)</f>
        <v>0</v>
      </c>
      <c r="Q124" s="91">
        <f>IF(Q$12=1,Fcast_TA!$J$52,P127)</f>
        <v>0</v>
      </c>
    </row>
    <row r="125" spans="5:17">
      <c r="E125" s="5" t="str">
        <f>$E$122</f>
        <v>Interest Expense</v>
      </c>
      <c r="J125" s="91">
        <f>J122</f>
        <v>3.25</v>
      </c>
      <c r="K125" s="91">
        <f t="shared" ref="K125:Q125" si="46">K122</f>
        <v>3.25</v>
      </c>
      <c r="L125" s="91">
        <f t="shared" si="46"/>
        <v>3.25</v>
      </c>
      <c r="M125" s="91">
        <f t="shared" si="46"/>
        <v>3.25</v>
      </c>
      <c r="N125" s="91">
        <f t="shared" si="46"/>
        <v>3.4125000000000001</v>
      </c>
      <c r="O125" s="91">
        <f t="shared" si="46"/>
        <v>3.5750000000000002</v>
      </c>
      <c r="P125" s="91">
        <f t="shared" si="46"/>
        <v>3.5750000000000002</v>
      </c>
      <c r="Q125" s="91">
        <f t="shared" si="46"/>
        <v>3.5750000000000002</v>
      </c>
    </row>
    <row r="126" spans="5:17">
      <c r="E126" s="105" t="s">
        <v>162</v>
      </c>
      <c r="J126" s="93">
        <f>-J125</f>
        <v>-3.25</v>
      </c>
      <c r="K126" s="93">
        <f t="shared" ref="K126:Q126" si="47">-K125</f>
        <v>-3.25</v>
      </c>
      <c r="L126" s="93">
        <f t="shared" si="47"/>
        <v>-3.25</v>
      </c>
      <c r="M126" s="93">
        <f t="shared" si="47"/>
        <v>-3.25</v>
      </c>
      <c r="N126" s="93">
        <f t="shared" si="47"/>
        <v>-3.4125000000000001</v>
      </c>
      <c r="O126" s="93">
        <f t="shared" si="47"/>
        <v>-3.5750000000000002</v>
      </c>
      <c r="P126" s="93">
        <f t="shared" si="47"/>
        <v>-3.5750000000000002</v>
      </c>
      <c r="Q126" s="93">
        <f t="shared" si="47"/>
        <v>-3.5750000000000002</v>
      </c>
    </row>
    <row r="127" spans="5:17">
      <c r="E127" s="106" t="s">
        <v>163</v>
      </c>
      <c r="J127" s="91">
        <f>SUM(J124:J126)</f>
        <v>0</v>
      </c>
      <c r="K127" s="91">
        <f t="shared" ref="K127:Q127" si="48">SUM(K124:K126)</f>
        <v>0</v>
      </c>
      <c r="L127" s="91">
        <f t="shared" si="48"/>
        <v>0</v>
      </c>
      <c r="M127" s="91">
        <f t="shared" si="48"/>
        <v>0</v>
      </c>
      <c r="N127" s="91">
        <f t="shared" si="48"/>
        <v>0</v>
      </c>
      <c r="O127" s="91">
        <f t="shared" si="48"/>
        <v>0</v>
      </c>
      <c r="P127" s="91">
        <f t="shared" si="48"/>
        <v>0</v>
      </c>
      <c r="Q127" s="91">
        <f t="shared" si="48"/>
        <v>0</v>
      </c>
    </row>
    <row r="129" spans="3:17" ht="11.25">
      <c r="C129" s="90" t="s">
        <v>279</v>
      </c>
    </row>
    <row r="131" spans="3:17">
      <c r="D131" s="4" t="str">
        <f>Fcast_TA!$D$60</f>
        <v>Ordinary Equity Balances ($Millions)</v>
      </c>
    </row>
    <row r="133" spans="3:17">
      <c r="E133" s="5" t="str">
        <f>Fcast_TA!E62</f>
        <v>Opening Balance</v>
      </c>
      <c r="J133" s="91">
        <f>IF(J$12=1,Fcast_TA!$J$62,I136)</f>
        <v>75</v>
      </c>
      <c r="K133" s="91">
        <f>IF(K$12=1,Fcast_TA!$J$62,J136)</f>
        <v>75</v>
      </c>
      <c r="L133" s="91">
        <f>IF(L$12=1,Fcast_TA!$J$62,K136)</f>
        <v>75</v>
      </c>
      <c r="M133" s="91">
        <f>IF(M$12=1,Fcast_TA!$J$62,L136)</f>
        <v>75</v>
      </c>
      <c r="N133" s="91">
        <f>IF(N$12=1,Fcast_TA!$J$62,M136)</f>
        <v>75</v>
      </c>
      <c r="O133" s="91">
        <f>IF(O$12=1,Fcast_TA!$J$62,N136)</f>
        <v>75</v>
      </c>
      <c r="P133" s="91">
        <f>IF(P$12=1,Fcast_TA!$J$62,O136)</f>
        <v>75</v>
      </c>
      <c r="Q133" s="91">
        <f>IF(Q$12=1,Fcast_TA!$J$62,P136)</f>
        <v>75</v>
      </c>
    </row>
    <row r="134" spans="3:17">
      <c r="E134" s="5" t="str">
        <f>Fcast_TA!E63</f>
        <v>Equity Raisings</v>
      </c>
      <c r="J134" s="91">
        <f>Fcast_TA!J63</f>
        <v>0</v>
      </c>
      <c r="K134" s="91">
        <f>Fcast_TA!K63</f>
        <v>0</v>
      </c>
      <c r="L134" s="91">
        <f>Fcast_TA!L63</f>
        <v>0</v>
      </c>
      <c r="M134" s="91">
        <f>Fcast_TA!M63</f>
        <v>0</v>
      </c>
      <c r="N134" s="91">
        <f>Fcast_TA!N63</f>
        <v>0</v>
      </c>
      <c r="O134" s="91">
        <f>Fcast_TA!O63</f>
        <v>0</v>
      </c>
      <c r="P134" s="91">
        <f>Fcast_TA!P63</f>
        <v>0</v>
      </c>
      <c r="Q134" s="91">
        <f>Fcast_TA!Q63</f>
        <v>0</v>
      </c>
    </row>
    <row r="135" spans="3:17">
      <c r="E135" s="5" t="str">
        <f>Fcast_TA!E64</f>
        <v>Equity Repayments</v>
      </c>
      <c r="J135" s="93">
        <f>-Fcast_TA!J64</f>
        <v>0</v>
      </c>
      <c r="K135" s="93">
        <f>-Fcast_TA!K64</f>
        <v>0</v>
      </c>
      <c r="L135" s="93">
        <f>-Fcast_TA!L64</f>
        <v>0</v>
      </c>
      <c r="M135" s="93">
        <f>-Fcast_TA!M64</f>
        <v>0</v>
      </c>
      <c r="N135" s="93">
        <f>-Fcast_TA!N64</f>
        <v>0</v>
      </c>
      <c r="O135" s="93">
        <f>-Fcast_TA!O64</f>
        <v>0</v>
      </c>
      <c r="P135" s="93">
        <f>-Fcast_TA!P64</f>
        <v>0</v>
      </c>
      <c r="Q135" s="93">
        <f>-Fcast_TA!Q64</f>
        <v>0</v>
      </c>
    </row>
    <row r="136" spans="3:17">
      <c r="E136" s="4" t="str">
        <f>Fcast_TA!E65</f>
        <v>Closing Ordinary Equity</v>
      </c>
      <c r="J136" s="94">
        <f>SUM(J133:J135)</f>
        <v>75</v>
      </c>
      <c r="K136" s="94">
        <f t="shared" ref="K136:Q136" si="49">SUM(K133:K135)</f>
        <v>75</v>
      </c>
      <c r="L136" s="94">
        <f t="shared" si="49"/>
        <v>75</v>
      </c>
      <c r="M136" s="94">
        <f t="shared" si="49"/>
        <v>75</v>
      </c>
      <c r="N136" s="94">
        <f t="shared" si="49"/>
        <v>75</v>
      </c>
      <c r="O136" s="94">
        <f t="shared" si="49"/>
        <v>75</v>
      </c>
      <c r="P136" s="94">
        <f t="shared" si="49"/>
        <v>75</v>
      </c>
      <c r="Q136" s="94">
        <f t="shared" si="49"/>
        <v>75</v>
      </c>
    </row>
    <row r="138" spans="3:17">
      <c r="D138" s="4" t="str">
        <f>Fcast_TA!$D$67</f>
        <v>Dividends Payable &amp; Paid</v>
      </c>
    </row>
    <row r="140" spans="3:17">
      <c r="E140" s="105" t="s">
        <v>149</v>
      </c>
      <c r="J140" s="91">
        <f>IF(J$12=1,Fcast_TA!$J$69,I143)</f>
        <v>0</v>
      </c>
      <c r="K140" s="91">
        <f>IF(K$12=1,Fcast_TA!$J$69,J143)</f>
        <v>0</v>
      </c>
      <c r="L140" s="91">
        <f>IF(L$12=1,Fcast_TA!$J$69,K143)</f>
        <v>0</v>
      </c>
      <c r="M140" s="91">
        <f>IF(M$12=1,Fcast_TA!$J$69,L143)</f>
        <v>0</v>
      </c>
      <c r="N140" s="91">
        <f>IF(N$12=1,Fcast_TA!$J$69,M143)</f>
        <v>0</v>
      </c>
      <c r="O140" s="91">
        <f>IF(O$12=1,Fcast_TA!$J$69,N143)</f>
        <v>0</v>
      </c>
      <c r="P140" s="91">
        <f>IF(P$12=1,Fcast_TA!$J$69,O143)</f>
        <v>0</v>
      </c>
      <c r="Q140" s="91">
        <f>IF(Q$12=1,Fcast_TA!$J$69,P143)</f>
        <v>0</v>
      </c>
    </row>
    <row r="141" spans="3:17">
      <c r="E141" s="105" t="s">
        <v>178</v>
      </c>
      <c r="J141" s="91">
        <f t="shared" ref="J141:Q141" si="50">J165</f>
        <v>0</v>
      </c>
      <c r="K141" s="91">
        <f t="shared" si="50"/>
        <v>0</v>
      </c>
      <c r="L141" s="91">
        <f t="shared" si="50"/>
        <v>0</v>
      </c>
      <c r="M141" s="91">
        <f t="shared" si="50"/>
        <v>0</v>
      </c>
      <c r="N141" s="91">
        <f t="shared" si="50"/>
        <v>0</v>
      </c>
      <c r="O141" s="91">
        <f t="shared" si="50"/>
        <v>0</v>
      </c>
      <c r="P141" s="91">
        <f t="shared" si="50"/>
        <v>0</v>
      </c>
      <c r="Q141" s="91">
        <f t="shared" si="50"/>
        <v>0</v>
      </c>
    </row>
    <row r="142" spans="3:17">
      <c r="E142" s="105" t="s">
        <v>179</v>
      </c>
      <c r="J142" s="93">
        <f t="shared" ref="J142:Q142" si="51">-J141</f>
        <v>0</v>
      </c>
      <c r="K142" s="93">
        <f t="shared" si="51"/>
        <v>0</v>
      </c>
      <c r="L142" s="93">
        <f t="shared" si="51"/>
        <v>0</v>
      </c>
      <c r="M142" s="93">
        <f t="shared" si="51"/>
        <v>0</v>
      </c>
      <c r="N142" s="93">
        <f t="shared" si="51"/>
        <v>0</v>
      </c>
      <c r="O142" s="93">
        <f t="shared" si="51"/>
        <v>0</v>
      </c>
      <c r="P142" s="93">
        <f t="shared" si="51"/>
        <v>0</v>
      </c>
      <c r="Q142" s="93">
        <f t="shared" si="51"/>
        <v>0</v>
      </c>
    </row>
    <row r="143" spans="3:17">
      <c r="E143" s="106" t="s">
        <v>180</v>
      </c>
      <c r="J143" s="94">
        <f t="shared" ref="J143:Q143" si="52">SUM(J140:J142)</f>
        <v>0</v>
      </c>
      <c r="K143" s="94">
        <f t="shared" si="52"/>
        <v>0</v>
      </c>
      <c r="L143" s="94">
        <f t="shared" si="52"/>
        <v>0</v>
      </c>
      <c r="M143" s="94">
        <f t="shared" si="52"/>
        <v>0</v>
      </c>
      <c r="N143" s="94">
        <f t="shared" si="52"/>
        <v>0</v>
      </c>
      <c r="O143" s="94">
        <f t="shared" si="52"/>
        <v>0</v>
      </c>
      <c r="P143" s="94">
        <f t="shared" si="52"/>
        <v>0</v>
      </c>
      <c r="Q143" s="94">
        <f t="shared" si="52"/>
        <v>0</v>
      </c>
    </row>
    <row r="145" spans="4:17" hidden="1" outlineLevel="2">
      <c r="F145" s="105" t="s">
        <v>143</v>
      </c>
      <c r="J145" s="92">
        <f t="shared" ref="J145:Q145" si="53">IF(ISERROR(SUM(J133:J136,J140:J143)),1,0)</f>
        <v>0</v>
      </c>
      <c r="K145" s="92">
        <f t="shared" si="53"/>
        <v>0</v>
      </c>
      <c r="L145" s="92">
        <f t="shared" si="53"/>
        <v>0</v>
      </c>
      <c r="M145" s="92">
        <f t="shared" si="53"/>
        <v>0</v>
      </c>
      <c r="N145" s="92">
        <f t="shared" si="53"/>
        <v>0</v>
      </c>
      <c r="O145" s="92">
        <f t="shared" si="53"/>
        <v>0</v>
      </c>
      <c r="P145" s="92">
        <f t="shared" si="53"/>
        <v>0</v>
      </c>
      <c r="Q145" s="92">
        <f t="shared" si="53"/>
        <v>0</v>
      </c>
    </row>
    <row r="146" spans="4:17" hidden="1" outlineLevel="2">
      <c r="F146" s="105" t="s">
        <v>181</v>
      </c>
      <c r="J146" s="99">
        <f t="shared" ref="J146:Q146" si="54">IF(J145&lt;&gt;0,0,OR(ROUND(J133,5)&lt;0,ROUND(J134,5)&lt;0,ROUND(J135,5)&gt;0,ROUND(J136,5)&lt;0,ROUND(J136-SUM(J133:J135),5)&lt;&gt;0)*1)</f>
        <v>0</v>
      </c>
      <c r="K146" s="99">
        <f t="shared" si="54"/>
        <v>0</v>
      </c>
      <c r="L146" s="99">
        <f t="shared" si="54"/>
        <v>0</v>
      </c>
      <c r="M146" s="99">
        <f t="shared" si="54"/>
        <v>0</v>
      </c>
      <c r="N146" s="99">
        <f t="shared" si="54"/>
        <v>0</v>
      </c>
      <c r="O146" s="99">
        <f t="shared" si="54"/>
        <v>0</v>
      </c>
      <c r="P146" s="99">
        <f t="shared" si="54"/>
        <v>0</v>
      </c>
      <c r="Q146" s="99">
        <f t="shared" si="54"/>
        <v>0</v>
      </c>
    </row>
    <row r="147" spans="4:17" hidden="1" outlineLevel="2">
      <c r="F147" s="105" t="s">
        <v>182</v>
      </c>
      <c r="J147" s="119">
        <f t="shared" ref="J147:Q147" si="55">IF(J145&lt;&gt;0,0,OR(ROUND(J140,5)&lt;0,ROUND(J141,5)&lt;0,ROUND(J142,5)&gt;0,ROUND(J143,5)&lt;0,ROUND(J143-SUM(J140:J142),5)&lt;&gt;0)*1)</f>
        <v>0</v>
      </c>
      <c r="K147" s="119">
        <f t="shared" si="55"/>
        <v>0</v>
      </c>
      <c r="L147" s="119">
        <f t="shared" si="55"/>
        <v>0</v>
      </c>
      <c r="M147" s="119">
        <f t="shared" si="55"/>
        <v>0</v>
      </c>
      <c r="N147" s="119">
        <f t="shared" si="55"/>
        <v>0</v>
      </c>
      <c r="O147" s="119">
        <f t="shared" si="55"/>
        <v>0</v>
      </c>
      <c r="P147" s="119">
        <f t="shared" si="55"/>
        <v>0</v>
      </c>
      <c r="Q147" s="119">
        <f t="shared" si="55"/>
        <v>0</v>
      </c>
    </row>
    <row r="148" spans="4:17" collapsed="1">
      <c r="E148" s="105" t="s">
        <v>272</v>
      </c>
      <c r="I148" s="95">
        <f>IF(ISERROR(SUM(J148:Q148)),0,MIN(SUM(J148:Q148),1))</f>
        <v>0</v>
      </c>
      <c r="J148" s="92">
        <f t="shared" ref="J148:Q148" si="56">IF(ISERROR(SUM(J145:J147)),1,
MIN(1,SUM(J145:J147)))</f>
        <v>0</v>
      </c>
      <c r="K148" s="92">
        <f t="shared" si="56"/>
        <v>0</v>
      </c>
      <c r="L148" s="92">
        <f t="shared" si="56"/>
        <v>0</v>
      </c>
      <c r="M148" s="92">
        <f t="shared" si="56"/>
        <v>0</v>
      </c>
      <c r="N148" s="92">
        <f t="shared" si="56"/>
        <v>0</v>
      </c>
      <c r="O148" s="92">
        <f t="shared" si="56"/>
        <v>0</v>
      </c>
      <c r="P148" s="92">
        <f t="shared" si="56"/>
        <v>0</v>
      </c>
      <c r="Q148" s="92">
        <f t="shared" si="56"/>
        <v>0</v>
      </c>
    </row>
    <row r="150" spans="4:17">
      <c r="D150" s="162" t="s">
        <v>286</v>
      </c>
    </row>
    <row r="152" spans="4:17">
      <c r="E152" s="5" t="str">
        <f>Fcast_TA!$E$71</f>
        <v>Dividend Determination Method:</v>
      </c>
      <c r="J152" s="5" t="str">
        <f>INDEX(LU_Eq_Ord_Div_Meth,DD_Eq_Ord_Div_Meth)</f>
        <v>% of NPAT</v>
      </c>
    </row>
    <row r="154" spans="4:17">
      <c r="E154" s="5" t="str">
        <f>Fcast_TA!$E$73</f>
        <v>Dividend Declaration Period?</v>
      </c>
      <c r="J154" s="108" t="str">
        <f>Fcast_TA!J73</f>
        <v>Yes</v>
      </c>
      <c r="K154" s="108" t="str">
        <f>Fcast_TA!K73</f>
        <v>Yes</v>
      </c>
      <c r="L154" s="108" t="str">
        <f>Fcast_TA!L73</f>
        <v>Yes</v>
      </c>
      <c r="M154" s="108" t="str">
        <f>Fcast_TA!M73</f>
        <v>Yes</v>
      </c>
      <c r="N154" s="108" t="str">
        <f>Fcast_TA!N73</f>
        <v>Yes</v>
      </c>
      <c r="O154" s="108" t="str">
        <f>Fcast_TA!O73</f>
        <v>Yes</v>
      </c>
      <c r="P154" s="108" t="str">
        <f>Fcast_TA!P73</f>
        <v>Yes</v>
      </c>
      <c r="Q154" s="108" t="str">
        <f>Fcast_TA!Q73</f>
        <v>Yes</v>
      </c>
    </row>
    <row r="156" spans="4:17" s="21" customFormat="1">
      <c r="E156" s="140" t="s">
        <v>183</v>
      </c>
      <c r="J156" s="137">
        <f>BS_TO!J61</f>
        <v>0</v>
      </c>
      <c r="K156" s="137">
        <f>BS_TO!K61</f>
        <v>43.724999999999994</v>
      </c>
      <c r="L156" s="137">
        <f>BS_TO!L61</f>
        <v>41.449999999999996</v>
      </c>
      <c r="M156" s="137">
        <f>BS_TO!M61</f>
        <v>39.174999999999997</v>
      </c>
      <c r="N156" s="137">
        <f>BS_TO!N61</f>
        <v>36.9</v>
      </c>
      <c r="O156" s="137">
        <f>BS_TO!O61</f>
        <v>34.511249999999997</v>
      </c>
      <c r="P156" s="137">
        <f>BS_TO!P61</f>
        <v>32.008749999999999</v>
      </c>
      <c r="Q156" s="137">
        <f>BS_TO!Q61</f>
        <v>29.506249999999998</v>
      </c>
    </row>
    <row r="157" spans="4:17" s="21" customFormat="1">
      <c r="E157" s="140" t="s">
        <v>184</v>
      </c>
      <c r="J157" s="138">
        <f>IS_TO!J39</f>
        <v>-2.2749999999999999</v>
      </c>
      <c r="K157" s="138">
        <f>IS_TO!K39</f>
        <v>-2.2749999999999999</v>
      </c>
      <c r="L157" s="138">
        <f>IS_TO!L39</f>
        <v>-2.2749999999999999</v>
      </c>
      <c r="M157" s="138">
        <f>IS_TO!M39</f>
        <v>-2.2749999999999999</v>
      </c>
      <c r="N157" s="138">
        <f>IS_TO!N39</f>
        <v>-2.3887499999999999</v>
      </c>
      <c r="O157" s="138">
        <f>IS_TO!O39</f>
        <v>-2.5025000000000004</v>
      </c>
      <c r="P157" s="138">
        <f>IS_TO!P39</f>
        <v>-2.5025000000000004</v>
      </c>
      <c r="Q157" s="138">
        <f>IS_TO!Q39</f>
        <v>-2.5025000000000004</v>
      </c>
    </row>
    <row r="158" spans="4:17">
      <c r="E158" s="106" t="s">
        <v>187</v>
      </c>
      <c r="J158" s="94">
        <f>MAX(0,SUM(J156:J157))</f>
        <v>0</v>
      </c>
      <c r="K158" s="94">
        <f t="shared" ref="K158:Q158" si="57">MAX(0,SUM(K156:K157))</f>
        <v>41.449999999999996</v>
      </c>
      <c r="L158" s="94">
        <f t="shared" si="57"/>
        <v>39.174999999999997</v>
      </c>
      <c r="M158" s="94">
        <f t="shared" si="57"/>
        <v>36.9</v>
      </c>
      <c r="N158" s="94">
        <f t="shared" si="57"/>
        <v>34.511249999999997</v>
      </c>
      <c r="O158" s="94">
        <f t="shared" si="57"/>
        <v>32.008749999999999</v>
      </c>
      <c r="P158" s="94">
        <f t="shared" si="57"/>
        <v>29.506249999999998</v>
      </c>
      <c r="Q158" s="94">
        <f t="shared" si="57"/>
        <v>27.003749999999997</v>
      </c>
    </row>
    <row r="159" spans="4:17" s="21" customFormat="1">
      <c r="E159" s="140" t="s">
        <v>185</v>
      </c>
      <c r="J159" s="137">
        <f>BS_TO!J20</f>
        <v>15</v>
      </c>
      <c r="K159" s="137">
        <f>BS_TO!K20</f>
        <v>13.25</v>
      </c>
      <c r="L159" s="137">
        <f>BS_TO!L20</f>
        <v>10.975</v>
      </c>
      <c r="M159" s="137">
        <f>BS_TO!M20</f>
        <v>8.6999999999999993</v>
      </c>
      <c r="N159" s="137">
        <f>BS_TO!N20</f>
        <v>6.4249999999999989</v>
      </c>
      <c r="O159" s="137">
        <f>BS_TO!O20</f>
        <v>8.9874999999999989</v>
      </c>
      <c r="P159" s="137">
        <f>BS_TO!P20</f>
        <v>6.4362499999999985</v>
      </c>
      <c r="Q159" s="137">
        <f>BS_TO!Q20</f>
        <v>3.9337499999999981</v>
      </c>
    </row>
    <row r="160" spans="4:17" s="21" customFormat="1">
      <c r="E160" s="140" t="s">
        <v>186</v>
      </c>
      <c r="J160" s="138">
        <f>CFS_TO!J101</f>
        <v>-1.75</v>
      </c>
      <c r="K160" s="138">
        <f>CFS_TO!K101</f>
        <v>-2.2749999999999999</v>
      </c>
      <c r="L160" s="138">
        <f>CFS_TO!L101</f>
        <v>-2.2749999999999999</v>
      </c>
      <c r="M160" s="138">
        <f>CFS_TO!M101</f>
        <v>-2.2749999999999999</v>
      </c>
      <c r="N160" s="138">
        <f>CFS_TO!N101</f>
        <v>2.5625</v>
      </c>
      <c r="O160" s="138">
        <f>CFS_TO!O101</f>
        <v>-2.5512500000000005</v>
      </c>
      <c r="P160" s="138">
        <f>CFS_TO!P101</f>
        <v>-2.5025000000000004</v>
      </c>
      <c r="Q160" s="138">
        <f>CFS_TO!Q101</f>
        <v>-2.5025000000000004</v>
      </c>
    </row>
    <row r="161" spans="2:17">
      <c r="E161" s="106" t="s">
        <v>188</v>
      </c>
      <c r="J161" s="94">
        <f>SUM(J159:J160)</f>
        <v>13.25</v>
      </c>
      <c r="K161" s="94">
        <f t="shared" ref="K161:Q161" si="58">SUM(K159:K160)</f>
        <v>10.975</v>
      </c>
      <c r="L161" s="94">
        <f t="shared" si="58"/>
        <v>8.6999999999999993</v>
      </c>
      <c r="M161" s="94">
        <f t="shared" si="58"/>
        <v>6.4249999999999989</v>
      </c>
      <c r="N161" s="94">
        <f t="shared" si="58"/>
        <v>8.9874999999999989</v>
      </c>
      <c r="O161" s="94">
        <f t="shared" si="58"/>
        <v>6.4362499999999985</v>
      </c>
      <c r="P161" s="94">
        <f t="shared" si="58"/>
        <v>3.9337499999999981</v>
      </c>
      <c r="Q161" s="94">
        <f t="shared" si="58"/>
        <v>1.4312499999999977</v>
      </c>
    </row>
    <row r="162" spans="2:17">
      <c r="E162" s="5" t="str">
        <f>Fcast_TA!E74</f>
        <v>Dividend Payout Ratio - % of NPAT</v>
      </c>
      <c r="J162" s="98">
        <f>IF(OR(J154&lt;&gt;"Yes",DD_Eq_Ord_Div_Meth&lt;&gt;1),0,Fcast_TA!J74)</f>
        <v>0.5</v>
      </c>
      <c r="K162" s="98">
        <f>IF(OR(K154&lt;&gt;"Yes",DD_Eq_Ord_Div_Meth&lt;&gt;1),0,Fcast_TA!K74)</f>
        <v>0.5</v>
      </c>
      <c r="L162" s="98">
        <f>IF(OR(L154&lt;&gt;"Yes",DD_Eq_Ord_Div_Meth&lt;&gt;1),0,Fcast_TA!L74)</f>
        <v>0.5</v>
      </c>
      <c r="M162" s="98">
        <f>IF(OR(M154&lt;&gt;"Yes",DD_Eq_Ord_Div_Meth&lt;&gt;1),0,Fcast_TA!M74)</f>
        <v>0.5</v>
      </c>
      <c r="N162" s="98">
        <f>IF(OR(N154&lt;&gt;"Yes",DD_Eq_Ord_Div_Meth&lt;&gt;1),0,Fcast_TA!N74)</f>
        <v>0.5</v>
      </c>
      <c r="O162" s="98">
        <f>IF(OR(O154&lt;&gt;"Yes",DD_Eq_Ord_Div_Meth&lt;&gt;1),0,Fcast_TA!O74)</f>
        <v>0.5</v>
      </c>
      <c r="P162" s="98">
        <f>IF(OR(P154&lt;&gt;"Yes",DD_Eq_Ord_Div_Meth&lt;&gt;1),0,Fcast_TA!P74)</f>
        <v>0.5</v>
      </c>
      <c r="Q162" s="98">
        <f>IF(OR(Q154&lt;&gt;"Yes",DD_Eq_Ord_Div_Meth&lt;&gt;1),0,Fcast_TA!Q74)</f>
        <v>0.5</v>
      </c>
    </row>
    <row r="163" spans="2:17">
      <c r="E163" s="5" t="str">
        <f>Fcast_TA!E75</f>
        <v>Assumed Dividends - Not Applied</v>
      </c>
      <c r="J163" s="118">
        <f>IF(OR(J154&lt;&gt;"Yes",DD_Eq_Ord_Div_Meth&lt;&gt;2),0,Fcast_TA!J75)</f>
        <v>0</v>
      </c>
      <c r="K163" s="118">
        <f>IF(OR(K154&lt;&gt;"Yes",DD_Eq_Ord_Div_Meth&lt;&gt;2),0,Fcast_TA!K75)</f>
        <v>0</v>
      </c>
      <c r="L163" s="118">
        <f>IF(OR(L154&lt;&gt;"Yes",DD_Eq_Ord_Div_Meth&lt;&gt;2),0,Fcast_TA!L75)</f>
        <v>0</v>
      </c>
      <c r="M163" s="118">
        <f>IF(OR(M154&lt;&gt;"Yes",DD_Eq_Ord_Div_Meth&lt;&gt;2),0,Fcast_TA!M75)</f>
        <v>0</v>
      </c>
      <c r="N163" s="118">
        <f>IF(OR(N154&lt;&gt;"Yes",DD_Eq_Ord_Div_Meth&lt;&gt;2),0,Fcast_TA!N75)</f>
        <v>0</v>
      </c>
      <c r="O163" s="118">
        <f>IF(OR(O154&lt;&gt;"Yes",DD_Eq_Ord_Div_Meth&lt;&gt;2),0,Fcast_TA!O75)</f>
        <v>0</v>
      </c>
      <c r="P163" s="118">
        <f>IF(OR(P154&lt;&gt;"Yes",DD_Eq_Ord_Div_Meth&lt;&gt;2),0,Fcast_TA!P75)</f>
        <v>0</v>
      </c>
      <c r="Q163" s="118">
        <f>IF(OR(Q154&lt;&gt;"Yes",DD_Eq_Ord_Div_Meth&lt;&gt;2),0,Fcast_TA!Q75)</f>
        <v>0</v>
      </c>
    </row>
    <row r="164" spans="2:17">
      <c r="E164" s="105" t="s">
        <v>189</v>
      </c>
      <c r="J164" s="139">
        <f t="shared" ref="J164:Q164" si="59">IF(J154&lt;&gt;"Yes",0,IF(DD_Eq_Ord_Div_Meth=1,J162*IF(CB_Eq_Ord_Inc_Open_RP_In_NPAT,J158,J157),J163))</f>
        <v>-1.1375</v>
      </c>
      <c r="K164" s="139">
        <f t="shared" si="59"/>
        <v>-1.1375</v>
      </c>
      <c r="L164" s="139">
        <f t="shared" si="59"/>
        <v>-1.1375</v>
      </c>
      <c r="M164" s="139">
        <f t="shared" si="59"/>
        <v>-1.1375</v>
      </c>
      <c r="N164" s="139">
        <f t="shared" si="59"/>
        <v>-1.194375</v>
      </c>
      <c r="O164" s="139">
        <f t="shared" si="59"/>
        <v>-1.2512500000000002</v>
      </c>
      <c r="P164" s="139">
        <f t="shared" si="59"/>
        <v>-1.2512500000000002</v>
      </c>
      <c r="Q164" s="139">
        <f t="shared" si="59"/>
        <v>-1.2512500000000002</v>
      </c>
    </row>
    <row r="165" spans="2:17">
      <c r="E165" s="106" t="s">
        <v>190</v>
      </c>
      <c r="J165" s="94">
        <f t="shared" ref="J165:Q165" si="60">IF(CB_Eq_Ord_Cash_Limit_Div,MAX(0,MIN(J158,J161,J164)),MAX(0,MIN(J158,J164)))</f>
        <v>0</v>
      </c>
      <c r="K165" s="94">
        <f t="shared" si="60"/>
        <v>0</v>
      </c>
      <c r="L165" s="94">
        <f t="shared" si="60"/>
        <v>0</v>
      </c>
      <c r="M165" s="94">
        <f t="shared" si="60"/>
        <v>0</v>
      </c>
      <c r="N165" s="94">
        <f t="shared" si="60"/>
        <v>0</v>
      </c>
      <c r="O165" s="94">
        <f t="shared" si="60"/>
        <v>0</v>
      </c>
      <c r="P165" s="94">
        <f t="shared" si="60"/>
        <v>0</v>
      </c>
      <c r="Q165" s="94">
        <f t="shared" si="60"/>
        <v>0</v>
      </c>
    </row>
    <row r="167" spans="2:17">
      <c r="E167" s="105" t="s">
        <v>287</v>
      </c>
      <c r="I167" s="95">
        <f>IF(ISERROR(SUM(J167:Q167)),0,MIN(SUM(J167:Q167),1))</f>
        <v>1</v>
      </c>
      <c r="J167" s="92">
        <f t="shared" ref="J167:Q167" si="61">IF(ISERROR(J164&lt;&gt;J165),0,(J164&lt;&gt;J165)*1)</f>
        <v>1</v>
      </c>
      <c r="K167" s="92">
        <f t="shared" si="61"/>
        <v>1</v>
      </c>
      <c r="L167" s="92">
        <f t="shared" si="61"/>
        <v>1</v>
      </c>
      <c r="M167" s="92">
        <f t="shared" si="61"/>
        <v>1</v>
      </c>
      <c r="N167" s="92">
        <f t="shared" si="61"/>
        <v>1</v>
      </c>
      <c r="O167" s="92">
        <f t="shared" si="61"/>
        <v>1</v>
      </c>
      <c r="P167" s="92">
        <f t="shared" si="61"/>
        <v>1</v>
      </c>
      <c r="Q167" s="92">
        <f t="shared" si="61"/>
        <v>1</v>
      </c>
    </row>
    <row r="169" spans="2:17" ht="12.75">
      <c r="B169" s="115" t="s">
        <v>281</v>
      </c>
    </row>
    <row r="171" spans="2:17" s="13" customFormat="1" ht="12.75">
      <c r="B171" s="115"/>
      <c r="C171" s="120" t="str">
        <f>"Tax Expense ("&amp;INDEX(LU_Denom,DD_TS_Denom)&amp;")"</f>
        <v>Tax Expense ($Millions)</v>
      </c>
    </row>
    <row r="173" spans="2:17">
      <c r="D173" s="5" t="str">
        <f>C18</f>
        <v>Revenue</v>
      </c>
      <c r="J173" s="91">
        <f>J18</f>
        <v>0</v>
      </c>
      <c r="K173" s="91">
        <f t="shared" ref="K173:Q173" si="62">K18</f>
        <v>0</v>
      </c>
      <c r="L173" s="91">
        <f t="shared" si="62"/>
        <v>0</v>
      </c>
      <c r="M173" s="91">
        <f t="shared" si="62"/>
        <v>0</v>
      </c>
      <c r="N173" s="91">
        <f t="shared" si="62"/>
        <v>0</v>
      </c>
      <c r="O173" s="91">
        <f t="shared" si="62"/>
        <v>0</v>
      </c>
      <c r="P173" s="91">
        <f t="shared" si="62"/>
        <v>0</v>
      </c>
      <c r="Q173" s="91">
        <f t="shared" si="62"/>
        <v>0</v>
      </c>
    </row>
    <row r="174" spans="2:17" s="13" customFormat="1">
      <c r="D174" s="5" t="str">
        <f>C19</f>
        <v>Cost of Goods Sold</v>
      </c>
      <c r="J174" s="91">
        <f>-J19</f>
        <v>0</v>
      </c>
      <c r="K174" s="91">
        <f t="shared" ref="K174:Q174" si="63">-K19</f>
        <v>0</v>
      </c>
      <c r="L174" s="91">
        <f t="shared" si="63"/>
        <v>0</v>
      </c>
      <c r="M174" s="91">
        <f t="shared" si="63"/>
        <v>0</v>
      </c>
      <c r="N174" s="91">
        <f t="shared" si="63"/>
        <v>0</v>
      </c>
      <c r="O174" s="91">
        <f t="shared" si="63"/>
        <v>0</v>
      </c>
      <c r="P174" s="91">
        <f t="shared" si="63"/>
        <v>0</v>
      </c>
      <c r="Q174" s="91">
        <f t="shared" si="63"/>
        <v>0</v>
      </c>
    </row>
    <row r="175" spans="2:17" s="13" customFormat="1">
      <c r="D175" s="5" t="str">
        <f t="shared" ref="D175" si="64">C20</f>
        <v>Operating Expenditure</v>
      </c>
      <c r="J175" s="91">
        <f t="shared" ref="J175:Q175" si="65">-J20</f>
        <v>0</v>
      </c>
      <c r="K175" s="91">
        <f t="shared" si="65"/>
        <v>0</v>
      </c>
      <c r="L175" s="91">
        <f t="shared" si="65"/>
        <v>0</v>
      </c>
      <c r="M175" s="91">
        <f t="shared" si="65"/>
        <v>0</v>
      </c>
      <c r="N175" s="91">
        <f t="shared" si="65"/>
        <v>0</v>
      </c>
      <c r="O175" s="91">
        <f t="shared" si="65"/>
        <v>0</v>
      </c>
      <c r="P175" s="91">
        <f t="shared" si="65"/>
        <v>0</v>
      </c>
      <c r="Q175" s="91">
        <f t="shared" si="65"/>
        <v>0</v>
      </c>
    </row>
    <row r="176" spans="2:17">
      <c r="D176" s="5" t="str">
        <f>D77</f>
        <v>Depreciation</v>
      </c>
      <c r="J176" s="91">
        <f t="shared" ref="J176:Q176" si="66">J77</f>
        <v>0</v>
      </c>
      <c r="K176" s="91">
        <f t="shared" si="66"/>
        <v>0</v>
      </c>
      <c r="L176" s="91">
        <f t="shared" si="66"/>
        <v>0</v>
      </c>
      <c r="M176" s="91">
        <f t="shared" si="66"/>
        <v>0</v>
      </c>
      <c r="N176" s="91">
        <f t="shared" si="66"/>
        <v>0</v>
      </c>
      <c r="O176" s="91">
        <f t="shared" si="66"/>
        <v>0</v>
      </c>
      <c r="P176" s="91">
        <f t="shared" si="66"/>
        <v>0</v>
      </c>
      <c r="Q176" s="91">
        <f t="shared" si="66"/>
        <v>0</v>
      </c>
    </row>
    <row r="177" spans="3:17" s="13" customFormat="1">
      <c r="D177" s="5" t="str">
        <f>D89</f>
        <v>Amortization</v>
      </c>
      <c r="J177" s="91">
        <f t="shared" ref="J177:Q177" si="67">J89</f>
        <v>0</v>
      </c>
      <c r="K177" s="91">
        <f t="shared" si="67"/>
        <v>0</v>
      </c>
      <c r="L177" s="91">
        <f t="shared" si="67"/>
        <v>0</v>
      </c>
      <c r="M177" s="91">
        <f t="shared" si="67"/>
        <v>0</v>
      </c>
      <c r="N177" s="91">
        <f t="shared" si="67"/>
        <v>0</v>
      </c>
      <c r="O177" s="91">
        <f t="shared" si="67"/>
        <v>0</v>
      </c>
      <c r="P177" s="91">
        <f t="shared" si="67"/>
        <v>0</v>
      </c>
      <c r="Q177" s="91">
        <f t="shared" si="67"/>
        <v>0</v>
      </c>
    </row>
    <row r="178" spans="3:17">
      <c r="D178" s="5" t="str">
        <f>E122</f>
        <v>Interest Expense</v>
      </c>
      <c r="E178" s="5"/>
      <c r="J178" s="91">
        <f>-J122</f>
        <v>-3.25</v>
      </c>
      <c r="K178" s="91">
        <f t="shared" ref="K178:Q178" si="68">-K122</f>
        <v>-3.25</v>
      </c>
      <c r="L178" s="91">
        <f t="shared" si="68"/>
        <v>-3.25</v>
      </c>
      <c r="M178" s="91">
        <f t="shared" si="68"/>
        <v>-3.25</v>
      </c>
      <c r="N178" s="91">
        <f t="shared" si="68"/>
        <v>-3.4125000000000001</v>
      </c>
      <c r="O178" s="91">
        <f t="shared" si="68"/>
        <v>-3.5750000000000002</v>
      </c>
      <c r="P178" s="91">
        <f t="shared" si="68"/>
        <v>-3.5750000000000002</v>
      </c>
      <c r="Q178" s="91">
        <f t="shared" si="68"/>
        <v>-3.5750000000000002</v>
      </c>
    </row>
    <row r="179" spans="3:17">
      <c r="D179" s="106" t="s">
        <v>6</v>
      </c>
      <c r="J179" s="121">
        <f>SUM(J173:J178)</f>
        <v>-3.25</v>
      </c>
      <c r="K179" s="121">
        <f t="shared" ref="K179:Q179" si="69">SUM(K173:K178)</f>
        <v>-3.25</v>
      </c>
      <c r="L179" s="121">
        <f t="shared" si="69"/>
        <v>-3.25</v>
      </c>
      <c r="M179" s="121">
        <f t="shared" si="69"/>
        <v>-3.25</v>
      </c>
      <c r="N179" s="121">
        <f t="shared" si="69"/>
        <v>-3.4125000000000001</v>
      </c>
      <c r="O179" s="121">
        <f t="shared" si="69"/>
        <v>-3.5750000000000002</v>
      </c>
      <c r="P179" s="121">
        <f t="shared" si="69"/>
        <v>-3.5750000000000002</v>
      </c>
      <c r="Q179" s="121">
        <f t="shared" si="69"/>
        <v>-3.5750000000000002</v>
      </c>
    </row>
    <row r="180" spans="3:17">
      <c r="J180" s="91"/>
      <c r="K180" s="91"/>
      <c r="L180" s="91"/>
      <c r="M180" s="91"/>
      <c r="N180" s="91"/>
      <c r="O180" s="91"/>
      <c r="P180" s="91"/>
      <c r="Q180" s="91"/>
    </row>
    <row r="181" spans="3:17">
      <c r="D181" s="106" t="s">
        <v>7</v>
      </c>
      <c r="J181" s="134">
        <f t="shared" ref="J181:Q181" si="70">J179</f>
        <v>-3.25</v>
      </c>
      <c r="K181" s="134">
        <f t="shared" si="70"/>
        <v>-3.25</v>
      </c>
      <c r="L181" s="134">
        <f t="shared" si="70"/>
        <v>-3.25</v>
      </c>
      <c r="M181" s="134">
        <f t="shared" si="70"/>
        <v>-3.25</v>
      </c>
      <c r="N181" s="134">
        <f t="shared" si="70"/>
        <v>-3.4125000000000001</v>
      </c>
      <c r="O181" s="134">
        <f t="shared" si="70"/>
        <v>-3.5750000000000002</v>
      </c>
      <c r="P181" s="134">
        <f t="shared" si="70"/>
        <v>-3.5750000000000002</v>
      </c>
      <c r="Q181" s="134">
        <f t="shared" si="70"/>
        <v>-3.5750000000000002</v>
      </c>
    </row>
    <row r="183" spans="3:17">
      <c r="D183" s="5" t="str">
        <f>Fcast_TA!D93</f>
        <v>Corporate Taxation Rate</v>
      </c>
      <c r="J183" s="114">
        <f>Fcast_TA!$J$93</f>
        <v>0.3</v>
      </c>
      <c r="K183" s="114">
        <f>Fcast_TA!$J$93</f>
        <v>0.3</v>
      </c>
      <c r="L183" s="114">
        <f>Fcast_TA!$J$93</f>
        <v>0.3</v>
      </c>
      <c r="M183" s="114">
        <f>Fcast_TA!$J$93</f>
        <v>0.3</v>
      </c>
      <c r="N183" s="114">
        <f>Fcast_TA!$J$93</f>
        <v>0.3</v>
      </c>
      <c r="O183" s="114">
        <f>Fcast_TA!$J$93</f>
        <v>0.3</v>
      </c>
      <c r="P183" s="114">
        <f>Fcast_TA!$J$93</f>
        <v>0.3</v>
      </c>
      <c r="Q183" s="114">
        <f>Fcast_TA!$J$93</f>
        <v>0.3</v>
      </c>
    </row>
    <row r="185" spans="3:17" ht="11.25" thickBot="1">
      <c r="D185" s="106" t="s">
        <v>8</v>
      </c>
      <c r="J185" s="133">
        <f t="shared" ref="J185:Q185" si="71">J181*J183</f>
        <v>-0.97499999999999998</v>
      </c>
      <c r="K185" s="133">
        <f t="shared" si="71"/>
        <v>-0.97499999999999998</v>
      </c>
      <c r="L185" s="133">
        <f t="shared" si="71"/>
        <v>-0.97499999999999998</v>
      </c>
      <c r="M185" s="133">
        <f t="shared" si="71"/>
        <v>-0.97499999999999998</v>
      </c>
      <c r="N185" s="133">
        <f t="shared" si="71"/>
        <v>-1.0237499999999999</v>
      </c>
      <c r="O185" s="133">
        <f t="shared" si="71"/>
        <v>-1.0725</v>
      </c>
      <c r="P185" s="133">
        <f t="shared" si="71"/>
        <v>-1.0725</v>
      </c>
      <c r="Q185" s="133">
        <f t="shared" si="71"/>
        <v>-1.0725</v>
      </c>
    </row>
    <row r="186" spans="3:17" ht="11.25" thickTop="1"/>
    <row r="187" spans="3:17" ht="11.25">
      <c r="C187" s="90" t="s">
        <v>355</v>
      </c>
    </row>
    <row r="189" spans="3:17">
      <c r="D189" s="161" t="s">
        <v>149</v>
      </c>
      <c r="J189" s="91">
        <f>IF(J$12=1,Fcast_TA!$J$89,I192)</f>
        <v>3.5</v>
      </c>
      <c r="K189" s="91">
        <f>IF(K$12=1,Fcast_TA!$J$89,J192)</f>
        <v>-0.97500000000000009</v>
      </c>
      <c r="L189" s="91">
        <f>IF(L$12=1,Fcast_TA!$J$89,K192)</f>
        <v>-0.9750000000000002</v>
      </c>
      <c r="M189" s="91">
        <f>IF(M$12=1,Fcast_TA!$J$89,L192)</f>
        <v>-0.9750000000000002</v>
      </c>
      <c r="N189" s="91">
        <f>IF(N$12=1,Fcast_TA!$J$89,M192)</f>
        <v>-0.9750000000000002</v>
      </c>
      <c r="O189" s="91">
        <f>IF(O$12=1,Fcast_TA!$J$89,N192)</f>
        <v>-1.0237500000000002</v>
      </c>
      <c r="P189" s="91">
        <f>IF(P$12=1,Fcast_TA!$J$89,O192)</f>
        <v>-1.0725000000000005</v>
      </c>
      <c r="Q189" s="91">
        <f>IF(Q$12=1,Fcast_TA!$J$89,P192)</f>
        <v>-1.0725000000000005</v>
      </c>
    </row>
    <row r="190" spans="3:17">
      <c r="D190" s="5" t="str">
        <f>D185</f>
        <v>Tax Expense / (Benefit)</v>
      </c>
      <c r="J190" s="91">
        <f>J185</f>
        <v>-0.97499999999999998</v>
      </c>
      <c r="K190" s="91">
        <f t="shared" ref="K190:Q190" si="72">K185</f>
        <v>-0.97499999999999998</v>
      </c>
      <c r="L190" s="91">
        <f t="shared" si="72"/>
        <v>-0.97499999999999998</v>
      </c>
      <c r="M190" s="91">
        <f t="shared" si="72"/>
        <v>-0.97499999999999998</v>
      </c>
      <c r="N190" s="91">
        <f t="shared" si="72"/>
        <v>-1.0237499999999999</v>
      </c>
      <c r="O190" s="91">
        <f t="shared" si="72"/>
        <v>-1.0725</v>
      </c>
      <c r="P190" s="91">
        <f t="shared" si="72"/>
        <v>-1.0725</v>
      </c>
      <c r="Q190" s="91">
        <f t="shared" si="72"/>
        <v>-1.0725</v>
      </c>
    </row>
    <row r="191" spans="3:17">
      <c r="D191" s="161" t="s">
        <v>341</v>
      </c>
      <c r="J191" s="93">
        <f>IF(J$12=1,-J189,-I190)</f>
        <v>-3.5</v>
      </c>
      <c r="K191" s="93">
        <f t="shared" ref="K191:Q191" si="73">IF(K$12=1,-K189,-J190)</f>
        <v>0.97499999999999998</v>
      </c>
      <c r="L191" s="93">
        <f t="shared" si="73"/>
        <v>0.97499999999999998</v>
      </c>
      <c r="M191" s="93">
        <f t="shared" si="73"/>
        <v>0.97499999999999998</v>
      </c>
      <c r="N191" s="93">
        <f t="shared" si="73"/>
        <v>0.97499999999999998</v>
      </c>
      <c r="O191" s="93">
        <f t="shared" si="73"/>
        <v>1.0237499999999999</v>
      </c>
      <c r="P191" s="93">
        <f t="shared" si="73"/>
        <v>1.0725</v>
      </c>
      <c r="Q191" s="93">
        <f t="shared" si="73"/>
        <v>1.0725</v>
      </c>
    </row>
    <row r="192" spans="3:17">
      <c r="D192" s="162" t="s">
        <v>271</v>
      </c>
      <c r="J192" s="94">
        <f>SUM(J189:J191)</f>
        <v>-0.97500000000000009</v>
      </c>
      <c r="K192" s="94">
        <f t="shared" ref="K192:Q192" si="74">SUM(K189:K191)</f>
        <v>-0.9750000000000002</v>
      </c>
      <c r="L192" s="94">
        <f t="shared" si="74"/>
        <v>-0.9750000000000002</v>
      </c>
      <c r="M192" s="94">
        <f t="shared" si="74"/>
        <v>-0.9750000000000002</v>
      </c>
      <c r="N192" s="94">
        <f t="shared" si="74"/>
        <v>-1.0237500000000002</v>
      </c>
      <c r="O192" s="94">
        <f t="shared" si="74"/>
        <v>-1.0725000000000005</v>
      </c>
      <c r="P192" s="94">
        <f t="shared" si="74"/>
        <v>-1.0725000000000005</v>
      </c>
      <c r="Q192" s="94">
        <f t="shared" si="74"/>
        <v>-1.0725000000000005</v>
      </c>
    </row>
    <row r="195" spans="2:17" ht="12.75">
      <c r="B195" s="115" t="s">
        <v>357</v>
      </c>
    </row>
    <row r="197" spans="2:17" ht="11.25">
      <c r="C197" s="120" t="str">
        <f>Fcast_TA!D110&amp;" ("&amp;INDEX(LU_Denom,DD_TS_Denom)&amp;")"</f>
        <v>Other Current Assets ($Millions)</v>
      </c>
    </row>
    <row r="199" spans="2:17">
      <c r="D199" s="161" t="s">
        <v>149</v>
      </c>
      <c r="J199" s="91">
        <f>IF(J$12=1,Fcast_TA!$I$110,I201)</f>
        <v>2</v>
      </c>
      <c r="K199" s="91">
        <f>IF(K$12=1,Fcast_TA!$I$110,J201)</f>
        <v>3</v>
      </c>
      <c r="L199" s="91">
        <f>IF(L$12=1,Fcast_TA!$I$110,K201)</f>
        <v>4</v>
      </c>
      <c r="M199" s="91">
        <f>IF(M$12=1,Fcast_TA!$I$110,L201)</f>
        <v>5</v>
      </c>
      <c r="N199" s="91">
        <f>IF(N$12=1,Fcast_TA!$I$110,M201)</f>
        <v>6</v>
      </c>
      <c r="O199" s="91">
        <f>IF(O$12=1,Fcast_TA!$I$110,N201)</f>
        <v>7</v>
      </c>
      <c r="P199" s="91">
        <f>IF(P$12=1,Fcast_TA!$I$110,O201)</f>
        <v>8</v>
      </c>
      <c r="Q199" s="91">
        <f>IF(Q$12=1,Fcast_TA!$I$110,P201)</f>
        <v>9</v>
      </c>
    </row>
    <row r="200" spans="2:17">
      <c r="D200" s="161" t="s">
        <v>358</v>
      </c>
      <c r="J200" s="93">
        <f>J201-J199</f>
        <v>1</v>
      </c>
      <c r="K200" s="93">
        <f t="shared" ref="K200:Q200" si="75">K201-K199</f>
        <v>1</v>
      </c>
      <c r="L200" s="93">
        <f t="shared" si="75"/>
        <v>1</v>
      </c>
      <c r="M200" s="93">
        <f t="shared" si="75"/>
        <v>1</v>
      </c>
      <c r="N200" s="93">
        <f t="shared" si="75"/>
        <v>1</v>
      </c>
      <c r="O200" s="93">
        <f t="shared" si="75"/>
        <v>1</v>
      </c>
      <c r="P200" s="93">
        <f t="shared" si="75"/>
        <v>1</v>
      </c>
      <c r="Q200" s="93">
        <f t="shared" si="75"/>
        <v>1</v>
      </c>
    </row>
    <row r="201" spans="2:17">
      <c r="D201" s="162" t="s">
        <v>271</v>
      </c>
      <c r="J201" s="94">
        <f>Fcast_TA!J110</f>
        <v>3</v>
      </c>
      <c r="K201" s="94">
        <f>Fcast_TA!K110</f>
        <v>4</v>
      </c>
      <c r="L201" s="94">
        <f>Fcast_TA!L110</f>
        <v>5</v>
      </c>
      <c r="M201" s="94">
        <f>Fcast_TA!M110</f>
        <v>6</v>
      </c>
      <c r="N201" s="94">
        <f>Fcast_TA!N110</f>
        <v>7</v>
      </c>
      <c r="O201" s="94">
        <f>Fcast_TA!O110</f>
        <v>8</v>
      </c>
      <c r="P201" s="94">
        <f>Fcast_TA!P110</f>
        <v>9</v>
      </c>
      <c r="Q201" s="94">
        <f>Fcast_TA!Q110</f>
        <v>10</v>
      </c>
    </row>
    <row r="202" spans="2:17">
      <c r="K202" s="13"/>
      <c r="L202" s="13"/>
      <c r="M202" s="13"/>
      <c r="N202" s="13"/>
      <c r="O202" s="13"/>
      <c r="P202" s="13"/>
      <c r="Q202" s="13"/>
    </row>
    <row r="203" spans="2:17" s="13" customFormat="1" ht="11.25">
      <c r="C203" s="120" t="str">
        <f>Fcast_TA!D111&amp;" ("&amp;INDEX(LU_Denom,DD_TS_Denom)&amp;")"</f>
        <v>Other Current Liabilities ($Millions)</v>
      </c>
    </row>
    <row r="204" spans="2:17" s="13" customFormat="1"/>
    <row r="205" spans="2:17" s="13" customFormat="1">
      <c r="D205" s="161" t="s">
        <v>149</v>
      </c>
      <c r="J205" s="91">
        <f>IF(J$12=1,Fcast_TA!$I$111,I207)</f>
        <v>3</v>
      </c>
      <c r="K205" s="91">
        <f>IF(K$12=1,Fcast_TA!$I$111,J207)</f>
        <v>4</v>
      </c>
      <c r="L205" s="91">
        <f>IF(L$12=1,Fcast_TA!$I$111,K207)</f>
        <v>5</v>
      </c>
      <c r="M205" s="91">
        <f>IF(M$12=1,Fcast_TA!$I$111,L207)</f>
        <v>6</v>
      </c>
      <c r="N205" s="91">
        <f>IF(N$12=1,Fcast_TA!$I$111,M207)</f>
        <v>7</v>
      </c>
      <c r="O205" s="91">
        <f>IF(O$12=1,Fcast_TA!$I$111,N207)</f>
        <v>8</v>
      </c>
      <c r="P205" s="91">
        <f>IF(P$12=1,Fcast_TA!$I$111,O207)</f>
        <v>9</v>
      </c>
      <c r="Q205" s="91">
        <f>IF(Q$12=1,Fcast_TA!$I$111,P207)</f>
        <v>10</v>
      </c>
    </row>
    <row r="206" spans="2:17" s="13" customFormat="1">
      <c r="D206" s="161" t="s">
        <v>358</v>
      </c>
      <c r="J206" s="93">
        <f>J207-J205</f>
        <v>1</v>
      </c>
      <c r="K206" s="93">
        <f t="shared" ref="K206:Q206" si="76">K207-K205</f>
        <v>1</v>
      </c>
      <c r="L206" s="93">
        <f t="shared" si="76"/>
        <v>1</v>
      </c>
      <c r="M206" s="93">
        <f t="shared" si="76"/>
        <v>1</v>
      </c>
      <c r="N206" s="93">
        <f t="shared" si="76"/>
        <v>1</v>
      </c>
      <c r="O206" s="93">
        <f t="shared" si="76"/>
        <v>1</v>
      </c>
      <c r="P206" s="93">
        <f t="shared" si="76"/>
        <v>1</v>
      </c>
      <c r="Q206" s="93">
        <f t="shared" si="76"/>
        <v>1</v>
      </c>
    </row>
    <row r="207" spans="2:17" s="13" customFormat="1">
      <c r="D207" s="162" t="s">
        <v>271</v>
      </c>
      <c r="J207" s="94">
        <f>Fcast_TA!J111</f>
        <v>4</v>
      </c>
      <c r="K207" s="94">
        <f>Fcast_TA!K111</f>
        <v>5</v>
      </c>
      <c r="L207" s="94">
        <f>Fcast_TA!L111</f>
        <v>6</v>
      </c>
      <c r="M207" s="94">
        <f>Fcast_TA!M111</f>
        <v>7</v>
      </c>
      <c r="N207" s="94">
        <f>Fcast_TA!N111</f>
        <v>8</v>
      </c>
      <c r="O207" s="94">
        <f>Fcast_TA!O111</f>
        <v>9</v>
      </c>
      <c r="P207" s="94">
        <f>Fcast_TA!P111</f>
        <v>10</v>
      </c>
      <c r="Q207" s="94">
        <f>Fcast_TA!Q111</f>
        <v>11</v>
      </c>
    </row>
    <row r="208" spans="2:17">
      <c r="K208" s="13"/>
      <c r="L208" s="13"/>
      <c r="M208" s="13"/>
      <c r="N208" s="13"/>
      <c r="O208" s="13"/>
      <c r="P208" s="13"/>
      <c r="Q208" s="13"/>
    </row>
    <row r="209" spans="3:17" s="13" customFormat="1" ht="11.25">
      <c r="C209" s="120" t="str">
        <f>Fcast_TA!D112&amp;" ("&amp;INDEX(LU_Denom,DD_TS_Denom)&amp;")"</f>
        <v>Other Non-Current Assets ($Millions)</v>
      </c>
    </row>
    <row r="210" spans="3:17" s="13" customFormat="1"/>
    <row r="211" spans="3:17" s="13" customFormat="1">
      <c r="D211" s="161" t="s">
        <v>149</v>
      </c>
      <c r="J211" s="91">
        <f>IF(J$12=1,Fcast_TA!$I$112,I213)</f>
        <v>4</v>
      </c>
      <c r="K211" s="91">
        <f>IF(K$12=1,Fcast_TA!$I$112,J213)</f>
        <v>5</v>
      </c>
      <c r="L211" s="91">
        <f>IF(L$12=1,Fcast_TA!$I$112,K213)</f>
        <v>6</v>
      </c>
      <c r="M211" s="91">
        <f>IF(M$12=1,Fcast_TA!$I$112,L213)</f>
        <v>7</v>
      </c>
      <c r="N211" s="91">
        <f>IF(N$12=1,Fcast_TA!$I$112,M213)</f>
        <v>8</v>
      </c>
      <c r="O211" s="91">
        <f>IF(O$12=1,Fcast_TA!$I$112,N213)</f>
        <v>9</v>
      </c>
      <c r="P211" s="91">
        <f>IF(P$12=1,Fcast_TA!$I$112,O213)</f>
        <v>10</v>
      </c>
      <c r="Q211" s="91">
        <f>IF(Q$12=1,Fcast_TA!$I$112,P213)</f>
        <v>11</v>
      </c>
    </row>
    <row r="212" spans="3:17" s="13" customFormat="1">
      <c r="D212" s="161" t="s">
        <v>358</v>
      </c>
      <c r="J212" s="93">
        <f>J213-J211</f>
        <v>1</v>
      </c>
      <c r="K212" s="93">
        <f t="shared" ref="K212:Q212" si="77">K213-K211</f>
        <v>1</v>
      </c>
      <c r="L212" s="93">
        <f t="shared" si="77"/>
        <v>1</v>
      </c>
      <c r="M212" s="93">
        <f t="shared" si="77"/>
        <v>1</v>
      </c>
      <c r="N212" s="93">
        <f t="shared" si="77"/>
        <v>1</v>
      </c>
      <c r="O212" s="93">
        <f t="shared" si="77"/>
        <v>1</v>
      </c>
      <c r="P212" s="93">
        <f t="shared" si="77"/>
        <v>1</v>
      </c>
      <c r="Q212" s="93">
        <f t="shared" si="77"/>
        <v>1</v>
      </c>
    </row>
    <row r="213" spans="3:17" s="13" customFormat="1">
      <c r="D213" s="162" t="s">
        <v>271</v>
      </c>
      <c r="J213" s="94">
        <f>Fcast_TA!J112</f>
        <v>5</v>
      </c>
      <c r="K213" s="94">
        <f>Fcast_TA!K112</f>
        <v>6</v>
      </c>
      <c r="L213" s="94">
        <f>Fcast_TA!L112</f>
        <v>7</v>
      </c>
      <c r="M213" s="94">
        <f>Fcast_TA!M112</f>
        <v>8</v>
      </c>
      <c r="N213" s="94">
        <f>Fcast_TA!N112</f>
        <v>9</v>
      </c>
      <c r="O213" s="94">
        <f>Fcast_TA!O112</f>
        <v>10</v>
      </c>
      <c r="P213" s="94">
        <f>Fcast_TA!P112</f>
        <v>11</v>
      </c>
      <c r="Q213" s="94">
        <f>Fcast_TA!Q112</f>
        <v>12</v>
      </c>
    </row>
    <row r="214" spans="3:17">
      <c r="K214" s="13"/>
      <c r="L214" s="13"/>
      <c r="M214" s="13"/>
      <c r="N214" s="13"/>
      <c r="O214" s="13"/>
      <c r="P214" s="13"/>
      <c r="Q214" s="13"/>
    </row>
    <row r="215" spans="3:17" s="13" customFormat="1" ht="11.25">
      <c r="C215" s="120" t="str">
        <f>Fcast_TA!D113&amp;" ("&amp;INDEX(LU_Denom,DD_TS_Denom)&amp;")"</f>
        <v>Other Non-Current Liabilities ($Millions)</v>
      </c>
    </row>
    <row r="216" spans="3:17" s="13" customFormat="1"/>
    <row r="217" spans="3:17" s="13" customFormat="1">
      <c r="D217" s="161" t="s">
        <v>149</v>
      </c>
      <c r="J217" s="91">
        <f>IF(J$12=1,Fcast_TA!$I$113,I219)</f>
        <v>5</v>
      </c>
      <c r="K217" s="91">
        <f>IF(K$12=1,Fcast_TA!$I$113,J219)</f>
        <v>6</v>
      </c>
      <c r="L217" s="91">
        <f>IF(L$12=1,Fcast_TA!$I$113,K219)</f>
        <v>7</v>
      </c>
      <c r="M217" s="91">
        <f>IF(M$12=1,Fcast_TA!$I$113,L219)</f>
        <v>8</v>
      </c>
      <c r="N217" s="91">
        <f>IF(N$12=1,Fcast_TA!$I$113,M219)</f>
        <v>9</v>
      </c>
      <c r="O217" s="91">
        <f>IF(O$12=1,Fcast_TA!$I$113,N219)</f>
        <v>10</v>
      </c>
      <c r="P217" s="91">
        <f>IF(P$12=1,Fcast_TA!$I$113,O219)</f>
        <v>11</v>
      </c>
      <c r="Q217" s="91">
        <f>IF(Q$12=1,Fcast_TA!$I$113,P219)</f>
        <v>12</v>
      </c>
    </row>
    <row r="218" spans="3:17" s="13" customFormat="1">
      <c r="D218" s="161" t="s">
        <v>358</v>
      </c>
      <c r="J218" s="93">
        <f>J219-J217</f>
        <v>1</v>
      </c>
      <c r="K218" s="93">
        <f t="shared" ref="K218:Q218" si="78">K219-K217</f>
        <v>1</v>
      </c>
      <c r="L218" s="93">
        <f t="shared" si="78"/>
        <v>1</v>
      </c>
      <c r="M218" s="93">
        <f t="shared" si="78"/>
        <v>1</v>
      </c>
      <c r="N218" s="93">
        <f t="shared" si="78"/>
        <v>1</v>
      </c>
      <c r="O218" s="93">
        <f t="shared" si="78"/>
        <v>1</v>
      </c>
      <c r="P218" s="93">
        <f t="shared" si="78"/>
        <v>1</v>
      </c>
      <c r="Q218" s="93">
        <f t="shared" si="78"/>
        <v>1</v>
      </c>
    </row>
    <row r="219" spans="3:17" s="13" customFormat="1">
      <c r="D219" s="162" t="s">
        <v>271</v>
      </c>
      <c r="J219" s="94">
        <f>Fcast_TA!J113</f>
        <v>6</v>
      </c>
      <c r="K219" s="94">
        <f>Fcast_TA!K113</f>
        <v>7</v>
      </c>
      <c r="L219" s="94">
        <f>Fcast_TA!L113</f>
        <v>8</v>
      </c>
      <c r="M219" s="94">
        <f>Fcast_TA!M113</f>
        <v>9</v>
      </c>
      <c r="N219" s="94">
        <f>Fcast_TA!N113</f>
        <v>10</v>
      </c>
      <c r="O219" s="94">
        <f>Fcast_TA!O113</f>
        <v>11</v>
      </c>
      <c r="P219" s="94">
        <f>Fcast_TA!P113</f>
        <v>12</v>
      </c>
      <c r="Q219" s="94">
        <f>Fcast_TA!Q113</f>
        <v>13</v>
      </c>
    </row>
  </sheetData>
  <mergeCells count="1">
    <mergeCell ref="B3:F3"/>
  </mergeCells>
  <conditionalFormatting sqref="D46">
    <cfRule type="expression" dxfId="56" priority="15" stopIfTrue="1">
      <formula>I46&lt;&gt;0</formula>
    </cfRule>
  </conditionalFormatting>
  <conditionalFormatting sqref="I167:Q167 J145:Q148 I148 J80:Q82 J42:Q46 J59:Q63 J92:Q94">
    <cfRule type="cellIs" dxfId="55" priority="14" stopIfTrue="1" operator="notEqual">
      <formula>0</formula>
    </cfRule>
  </conditionalFormatting>
  <conditionalFormatting sqref="D63">
    <cfRule type="expression" dxfId="54" priority="13" stopIfTrue="1">
      <formula>I63&lt;&gt;0</formula>
    </cfRule>
  </conditionalFormatting>
  <conditionalFormatting sqref="D82">
    <cfRule type="expression" dxfId="53" priority="12" stopIfTrue="1">
      <formula>I82&lt;&gt;0</formula>
    </cfRule>
  </conditionalFormatting>
  <conditionalFormatting sqref="D94">
    <cfRule type="expression" dxfId="52" priority="8" stopIfTrue="1">
      <formula>I94&lt;&gt;0</formula>
    </cfRule>
  </conditionalFormatting>
  <conditionalFormatting sqref="E148 E167">
    <cfRule type="expression" dxfId="51" priority="6" stopIfTrue="1">
      <formula>I148&lt;&gt;0</formula>
    </cfRule>
  </conditionalFormatting>
  <conditionalFormatting sqref="J154:Q154">
    <cfRule type="cellIs" dxfId="50" priority="5" stopIfTrue="1" operator="equal">
      <formula>"Yes"</formula>
    </cfRule>
  </conditionalFormatting>
  <conditionalFormatting sqref="J42:Q45">
    <cfRule type="cellIs" dxfId="49" priority="4" stopIfTrue="1" operator="notEqual">
      <formula>0</formula>
    </cfRule>
  </conditionalFormatting>
  <conditionalFormatting sqref="J59:Q62">
    <cfRule type="cellIs" dxfId="48" priority="3" stopIfTrue="1" operator="notEqual">
      <formula>0</formula>
    </cfRule>
  </conditionalFormatting>
  <conditionalFormatting sqref="J80:Q81">
    <cfRule type="cellIs" dxfId="47" priority="2" stopIfTrue="1" operator="notEqual">
      <formula>0</formula>
    </cfRule>
  </conditionalFormatting>
  <conditionalFormatting sqref="J92:Q93">
    <cfRule type="cellIs" dxfId="46" priority="1" stopIfTrue="1" operator="notEqual">
      <formula>0</formula>
    </cfRule>
  </conditionalFormatting>
  <conditionalFormatting sqref="I46">
    <cfRule type="cellIs" dxfId="45" priority="16" stopIfTrue="1" operator="notEqual">
      <formula>0</formula>
    </cfRule>
  </conditionalFormatting>
  <conditionalFormatting sqref="I63">
    <cfRule type="cellIs" dxfId="44" priority="17" stopIfTrue="1" operator="notEqual">
      <formula>0</formula>
    </cfRule>
  </conditionalFormatting>
  <conditionalFormatting sqref="I82">
    <cfRule type="cellIs" dxfId="43" priority="18" stopIfTrue="1" operator="notEqual">
      <formula>0</formula>
    </cfRule>
  </conditionalFormatting>
  <conditionalFormatting sqref="I94">
    <cfRule type="cellIs" dxfId="42" priority="19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8" tooltip="Go to Next Sheet" display="HL_Sheet_Main_1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rowBreaks count="7" manualBreakCount="7">
    <brk id="28" min="1" max="16" man="1"/>
    <brk id="69" min="1" max="16" man="1"/>
    <brk id="100" min="1" max="16" man="1"/>
    <brk id="128" min="1" max="16" man="1"/>
    <brk id="149" min="1" max="16" man="1"/>
    <brk id="168" min="1" max="16" man="1"/>
    <brk id="194" min="1" max="16" man="1"/>
  </rowBreaks>
  <ignoredErrors>
    <ignoredError sqref="J51:Q51" formulaRange="1"/>
  </ignoredErrors>
  <legacy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371</v>
      </c>
    </row>
    <row r="10" spans="3:7" ht="16.5">
      <c r="C10" s="24" t="s">
        <v>379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365</v>
      </c>
    </row>
    <row r="18" spans="3:3">
      <c r="C18" s="171" t="s">
        <v>372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35" tooltip="Go to Next Sheet" display="HL_Sheet_Main_35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Q46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47</v>
      </c>
    </row>
    <row r="2" spans="1:17" ht="15">
      <c r="B2" s="2" t="str">
        <f>Model_Name</f>
        <v>SMA 13. Multiple Workbooks - Practical Training Exercise 1 (Alert in Ordinary Equity - Outputs)</v>
      </c>
    </row>
    <row r="3" spans="1:17">
      <c r="B3" s="230" t="s">
        <v>48</v>
      </c>
      <c r="C3" s="230"/>
      <c r="D3" s="230"/>
      <c r="E3" s="230"/>
      <c r="F3" s="230"/>
    </row>
    <row r="4" spans="1:17" ht="12.75">
      <c r="A4" s="8" t="s">
        <v>51</v>
      </c>
      <c r="B4" s="9" t="s">
        <v>53</v>
      </c>
      <c r="C4" s="10" t="s">
        <v>102</v>
      </c>
      <c r="D4" s="229" t="s">
        <v>120</v>
      </c>
      <c r="E4" s="229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256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97" t="str">
        <f>"Income Statement - Base Case ("&amp;INDEX(LU_Denom,DD_TS_Denom)&amp;")"</f>
        <v>Income Statement - Base Case ($Millions)</v>
      </c>
    </row>
    <row r="18" spans="3:17">
      <c r="D18" s="5" t="str">
        <f>Fcast_TO!C18</f>
        <v>Revenue</v>
      </c>
      <c r="J18" s="91">
        <f>Fcast_TO!J18</f>
        <v>0</v>
      </c>
      <c r="K18" s="91">
        <f>Fcast_TO!K18</f>
        <v>0</v>
      </c>
      <c r="L18" s="91">
        <f>Fcast_TO!L18</f>
        <v>0</v>
      </c>
      <c r="M18" s="91">
        <f>Fcast_TO!M18</f>
        <v>0</v>
      </c>
      <c r="N18" s="91">
        <f>Fcast_TO!N18</f>
        <v>0</v>
      </c>
      <c r="O18" s="91">
        <f>Fcast_TO!O18</f>
        <v>0</v>
      </c>
      <c r="P18" s="91">
        <f>Fcast_TO!P18</f>
        <v>0</v>
      </c>
      <c r="Q18" s="91">
        <f>Fcast_TO!Q18</f>
        <v>0</v>
      </c>
    </row>
    <row r="19" spans="3:17" s="13" customFormat="1">
      <c r="D19" s="5" t="str">
        <f>Fcast_TO!C19</f>
        <v>Cost of Goods Sold</v>
      </c>
      <c r="J19" s="91">
        <f>-Fcast_TO!J19</f>
        <v>0</v>
      </c>
      <c r="K19" s="91">
        <f>-Fcast_TO!K19</f>
        <v>0</v>
      </c>
      <c r="L19" s="91">
        <f>-Fcast_TO!L19</f>
        <v>0</v>
      </c>
      <c r="M19" s="91">
        <f>-Fcast_TO!M19</f>
        <v>0</v>
      </c>
      <c r="N19" s="91">
        <f>-Fcast_TO!N19</f>
        <v>0</v>
      </c>
      <c r="O19" s="91">
        <f>-Fcast_TO!O19</f>
        <v>0</v>
      </c>
      <c r="P19" s="91">
        <f>-Fcast_TO!P19</f>
        <v>0</v>
      </c>
      <c r="Q19" s="91">
        <f>-Fcast_TO!Q19</f>
        <v>0</v>
      </c>
    </row>
    <row r="20" spans="3:17" s="13" customFormat="1">
      <c r="J20" s="91"/>
      <c r="K20" s="91"/>
      <c r="L20" s="91"/>
      <c r="M20" s="91"/>
      <c r="N20" s="91"/>
      <c r="O20" s="91"/>
      <c r="P20" s="91"/>
      <c r="Q20" s="91"/>
    </row>
    <row r="21" spans="3:17" s="13" customFormat="1" ht="11.25">
      <c r="C21" s="90" t="s">
        <v>336</v>
      </c>
      <c r="J21" s="134">
        <f t="shared" ref="J21:Q21" si="8">J18+J19</f>
        <v>0</v>
      </c>
      <c r="K21" s="134">
        <f t="shared" si="8"/>
        <v>0</v>
      </c>
      <c r="L21" s="134">
        <f t="shared" si="8"/>
        <v>0</v>
      </c>
      <c r="M21" s="134">
        <f t="shared" si="8"/>
        <v>0</v>
      </c>
      <c r="N21" s="134">
        <f t="shared" si="8"/>
        <v>0</v>
      </c>
      <c r="O21" s="134">
        <f t="shared" si="8"/>
        <v>0</v>
      </c>
      <c r="P21" s="134">
        <f t="shared" si="8"/>
        <v>0</v>
      </c>
      <c r="Q21" s="134">
        <f t="shared" si="8"/>
        <v>0</v>
      </c>
    </row>
    <row r="22" spans="3:17">
      <c r="J22" s="91"/>
      <c r="K22" s="91"/>
      <c r="L22" s="91"/>
      <c r="M22" s="91"/>
      <c r="N22" s="91"/>
      <c r="O22" s="91"/>
      <c r="P22" s="91"/>
      <c r="Q22" s="91"/>
    </row>
    <row r="23" spans="3:17">
      <c r="D23" s="5" t="str">
        <f>Fcast_TO!C20</f>
        <v>Operating Expenditure</v>
      </c>
      <c r="J23" s="91">
        <f>-Fcast_TO!J20</f>
        <v>0</v>
      </c>
      <c r="K23" s="91">
        <f>-Fcast_TO!K20</f>
        <v>0</v>
      </c>
      <c r="L23" s="91">
        <f>-Fcast_TO!L20</f>
        <v>0</v>
      </c>
      <c r="M23" s="91">
        <f>-Fcast_TO!M20</f>
        <v>0</v>
      </c>
      <c r="N23" s="91">
        <f>-Fcast_TO!N20</f>
        <v>0</v>
      </c>
      <c r="O23" s="91">
        <f>-Fcast_TO!O20</f>
        <v>0</v>
      </c>
      <c r="P23" s="91">
        <f>-Fcast_TO!P20</f>
        <v>0</v>
      </c>
      <c r="Q23" s="91">
        <f>-Fcast_TO!Q20</f>
        <v>0</v>
      </c>
    </row>
    <row r="24" spans="3:17">
      <c r="J24" s="91"/>
      <c r="K24" s="91"/>
      <c r="L24" s="91"/>
      <c r="M24" s="91"/>
      <c r="N24" s="91"/>
      <c r="O24" s="91"/>
      <c r="P24" s="91"/>
      <c r="Q24" s="91"/>
    </row>
    <row r="25" spans="3:17" ht="11.25">
      <c r="C25" s="90" t="s">
        <v>11</v>
      </c>
      <c r="J25" s="134">
        <f>J21+J23</f>
        <v>0</v>
      </c>
      <c r="K25" s="134">
        <f t="shared" ref="K25:Q25" si="9">K21+K23</f>
        <v>0</v>
      </c>
      <c r="L25" s="134">
        <f t="shared" si="9"/>
        <v>0</v>
      </c>
      <c r="M25" s="134">
        <f t="shared" si="9"/>
        <v>0</v>
      </c>
      <c r="N25" s="134">
        <f t="shared" si="9"/>
        <v>0</v>
      </c>
      <c r="O25" s="134">
        <f t="shared" si="9"/>
        <v>0</v>
      </c>
      <c r="P25" s="134">
        <f t="shared" si="9"/>
        <v>0</v>
      </c>
      <c r="Q25" s="134">
        <f t="shared" si="9"/>
        <v>0</v>
      </c>
    </row>
    <row r="26" spans="3:17">
      <c r="J26" s="91"/>
      <c r="K26" s="91"/>
      <c r="L26" s="91"/>
      <c r="M26" s="91"/>
      <c r="N26" s="91"/>
      <c r="O26" s="91"/>
      <c r="P26" s="91"/>
      <c r="Q26" s="91"/>
    </row>
    <row r="27" spans="3:17" hidden="1" outlineLevel="2">
      <c r="E27" s="5" t="str">
        <f>Fcast_TO!D77</f>
        <v>Depreciation</v>
      </c>
      <c r="J27" s="91">
        <f>Fcast_TO!J77</f>
        <v>0</v>
      </c>
      <c r="K27" s="91">
        <f>Fcast_TO!K77</f>
        <v>0</v>
      </c>
      <c r="L27" s="91">
        <f>Fcast_TO!L77</f>
        <v>0</v>
      </c>
      <c r="M27" s="91">
        <f>Fcast_TO!M77</f>
        <v>0</v>
      </c>
      <c r="N27" s="91">
        <f>Fcast_TO!N77</f>
        <v>0</v>
      </c>
      <c r="O27" s="91">
        <f>Fcast_TO!O77</f>
        <v>0</v>
      </c>
      <c r="P27" s="91">
        <f>Fcast_TO!P77</f>
        <v>0</v>
      </c>
      <c r="Q27" s="91">
        <f>Fcast_TO!Q77</f>
        <v>0</v>
      </c>
    </row>
    <row r="28" spans="3:17" s="13" customFormat="1" hidden="1" outlineLevel="2">
      <c r="E28" s="5" t="str">
        <f>Fcast_TO!D89</f>
        <v>Amortization</v>
      </c>
      <c r="J28" s="117">
        <f>Fcast_TO!J89</f>
        <v>0</v>
      </c>
      <c r="K28" s="117">
        <f>Fcast_TO!K89</f>
        <v>0</v>
      </c>
      <c r="L28" s="117">
        <f>Fcast_TO!L89</f>
        <v>0</v>
      </c>
      <c r="M28" s="117">
        <f>Fcast_TO!M89</f>
        <v>0</v>
      </c>
      <c r="N28" s="117">
        <f>Fcast_TO!N89</f>
        <v>0</v>
      </c>
      <c r="O28" s="117">
        <f>Fcast_TO!O89</f>
        <v>0</v>
      </c>
      <c r="P28" s="117">
        <f>Fcast_TO!P89</f>
        <v>0</v>
      </c>
      <c r="Q28" s="117">
        <f>Fcast_TO!Q89</f>
        <v>0</v>
      </c>
    </row>
    <row r="29" spans="3:17" collapsed="1">
      <c r="D29" s="161" t="s">
        <v>337</v>
      </c>
      <c r="J29" s="91">
        <f>SUM(J27:J28)</f>
        <v>0</v>
      </c>
      <c r="K29" s="91">
        <f t="shared" ref="K29:Q29" si="10">SUM(K27:K28)</f>
        <v>0</v>
      </c>
      <c r="L29" s="91">
        <f t="shared" si="10"/>
        <v>0</v>
      </c>
      <c r="M29" s="91">
        <f t="shared" si="10"/>
        <v>0</v>
      </c>
      <c r="N29" s="91">
        <f t="shared" si="10"/>
        <v>0</v>
      </c>
      <c r="O29" s="91">
        <f t="shared" si="10"/>
        <v>0</v>
      </c>
      <c r="P29" s="91">
        <f t="shared" si="10"/>
        <v>0</v>
      </c>
      <c r="Q29" s="91">
        <f t="shared" si="10"/>
        <v>0</v>
      </c>
    </row>
    <row r="30" spans="3:17">
      <c r="J30" s="91"/>
      <c r="K30" s="91"/>
      <c r="L30" s="91"/>
      <c r="M30" s="91"/>
      <c r="N30" s="91"/>
      <c r="O30" s="91"/>
      <c r="P30" s="91"/>
      <c r="Q30" s="91"/>
    </row>
    <row r="31" spans="3:17" ht="11.25">
      <c r="C31" s="90" t="s">
        <v>12</v>
      </c>
      <c r="J31" s="134">
        <f t="shared" ref="J31:Q31" si="11">J25+J29</f>
        <v>0</v>
      </c>
      <c r="K31" s="134">
        <f t="shared" si="11"/>
        <v>0</v>
      </c>
      <c r="L31" s="134">
        <f t="shared" si="11"/>
        <v>0</v>
      </c>
      <c r="M31" s="134">
        <f t="shared" si="11"/>
        <v>0</v>
      </c>
      <c r="N31" s="134">
        <f t="shared" si="11"/>
        <v>0</v>
      </c>
      <c r="O31" s="134">
        <f t="shared" si="11"/>
        <v>0</v>
      </c>
      <c r="P31" s="134">
        <f t="shared" si="11"/>
        <v>0</v>
      </c>
      <c r="Q31" s="134">
        <f t="shared" si="11"/>
        <v>0</v>
      </c>
    </row>
    <row r="32" spans="3:17">
      <c r="J32" s="91"/>
      <c r="K32" s="91"/>
      <c r="L32" s="91"/>
      <c r="M32" s="91"/>
      <c r="N32" s="91"/>
      <c r="O32" s="91"/>
      <c r="P32" s="91"/>
      <c r="Q32" s="91"/>
    </row>
    <row r="33" spans="3:17">
      <c r="D33" s="5" t="str">
        <f>Fcast_TO!E122</f>
        <v>Interest Expense</v>
      </c>
      <c r="J33" s="91">
        <f>-Fcast_TO!J122</f>
        <v>-3.25</v>
      </c>
      <c r="K33" s="91">
        <f>-Fcast_TO!K122</f>
        <v>-3.25</v>
      </c>
      <c r="L33" s="91">
        <f>-Fcast_TO!L122</f>
        <v>-3.25</v>
      </c>
      <c r="M33" s="91">
        <f>-Fcast_TO!M122</f>
        <v>-3.25</v>
      </c>
      <c r="N33" s="91">
        <f>-Fcast_TO!N122</f>
        <v>-3.4125000000000001</v>
      </c>
      <c r="O33" s="91">
        <f>-Fcast_TO!O122</f>
        <v>-3.5750000000000002</v>
      </c>
      <c r="P33" s="91">
        <f>-Fcast_TO!P122</f>
        <v>-3.5750000000000002</v>
      </c>
      <c r="Q33" s="91">
        <f>-Fcast_TO!Q122</f>
        <v>-3.5750000000000002</v>
      </c>
    </row>
    <row r="34" spans="3:17">
      <c r="J34" s="91"/>
      <c r="K34" s="91"/>
      <c r="L34" s="91"/>
      <c r="M34" s="91"/>
      <c r="N34" s="91"/>
      <c r="O34" s="91"/>
      <c r="P34" s="91"/>
      <c r="Q34" s="91"/>
    </row>
    <row r="35" spans="3:17" ht="11.25">
      <c r="C35" s="90" t="s">
        <v>13</v>
      </c>
      <c r="J35" s="134">
        <f t="shared" ref="J35:Q35" si="12">J31+J33</f>
        <v>-3.25</v>
      </c>
      <c r="K35" s="134">
        <f t="shared" si="12"/>
        <v>-3.25</v>
      </c>
      <c r="L35" s="134">
        <f t="shared" si="12"/>
        <v>-3.25</v>
      </c>
      <c r="M35" s="134">
        <f t="shared" si="12"/>
        <v>-3.25</v>
      </c>
      <c r="N35" s="134">
        <f t="shared" si="12"/>
        <v>-3.4125000000000001</v>
      </c>
      <c r="O35" s="134">
        <f t="shared" si="12"/>
        <v>-3.5750000000000002</v>
      </c>
      <c r="P35" s="134">
        <f t="shared" si="12"/>
        <v>-3.5750000000000002</v>
      </c>
      <c r="Q35" s="134">
        <f t="shared" si="12"/>
        <v>-3.5750000000000002</v>
      </c>
    </row>
    <row r="36" spans="3:17">
      <c r="J36" s="91"/>
      <c r="K36" s="91"/>
      <c r="L36" s="91"/>
      <c r="M36" s="91"/>
      <c r="N36" s="91"/>
      <c r="O36" s="91"/>
      <c r="P36" s="91"/>
      <c r="Q36" s="91"/>
    </row>
    <row r="37" spans="3:17">
      <c r="D37" s="5" t="str">
        <f>Fcast_TO!D185</f>
        <v>Tax Expense / (Benefit)</v>
      </c>
      <c r="J37" s="91">
        <f>-Fcast_TO!J185</f>
        <v>0.97499999999999998</v>
      </c>
      <c r="K37" s="91">
        <f>-Fcast_TO!K185</f>
        <v>0.97499999999999998</v>
      </c>
      <c r="L37" s="91">
        <f>-Fcast_TO!L185</f>
        <v>0.97499999999999998</v>
      </c>
      <c r="M37" s="91">
        <f>-Fcast_TO!M185</f>
        <v>0.97499999999999998</v>
      </c>
      <c r="N37" s="91">
        <f>-Fcast_TO!N185</f>
        <v>1.0237499999999999</v>
      </c>
      <c r="O37" s="91">
        <f>-Fcast_TO!O185</f>
        <v>1.0725</v>
      </c>
      <c r="P37" s="91">
        <f>-Fcast_TO!P185</f>
        <v>1.0725</v>
      </c>
      <c r="Q37" s="91">
        <f>-Fcast_TO!Q185</f>
        <v>1.0725</v>
      </c>
    </row>
    <row r="38" spans="3:17">
      <c r="J38" s="91"/>
      <c r="K38" s="91"/>
      <c r="L38" s="91"/>
      <c r="M38" s="91"/>
      <c r="N38" s="91"/>
      <c r="O38" s="91"/>
      <c r="P38" s="91"/>
      <c r="Q38" s="91"/>
    </row>
    <row r="39" spans="3:17" ht="12.75" thickBot="1">
      <c r="C39" s="14" t="s">
        <v>14</v>
      </c>
      <c r="J39" s="133">
        <f t="shared" ref="J39:Q39" si="13">J35+J37</f>
        <v>-2.2749999999999999</v>
      </c>
      <c r="K39" s="133">
        <f t="shared" si="13"/>
        <v>-2.2749999999999999</v>
      </c>
      <c r="L39" s="133">
        <f t="shared" si="13"/>
        <v>-2.2749999999999999</v>
      </c>
      <c r="M39" s="133">
        <f t="shared" si="13"/>
        <v>-2.2749999999999999</v>
      </c>
      <c r="N39" s="133">
        <f t="shared" si="13"/>
        <v>-2.3887499999999999</v>
      </c>
      <c r="O39" s="133">
        <f t="shared" si="13"/>
        <v>-2.5025000000000004</v>
      </c>
      <c r="P39" s="133">
        <f t="shared" si="13"/>
        <v>-2.5025000000000004</v>
      </c>
      <c r="Q39" s="133">
        <f t="shared" si="13"/>
        <v>-2.5025000000000004</v>
      </c>
    </row>
    <row r="40" spans="3:17" ht="11.25" thickTop="1"/>
    <row r="41" spans="3:17" ht="11.25">
      <c r="C41" s="12" t="s">
        <v>274</v>
      </c>
      <c r="I41" s="95">
        <f>IF(ISERROR(SUM(J41:Q41)),0,MIN(SUM(J41:Q41),1))</f>
        <v>0</v>
      </c>
      <c r="J41" s="92">
        <f t="shared" ref="J41:Q41" si="14">IF(ISERROR(J39),1,0)</f>
        <v>0</v>
      </c>
      <c r="K41" s="92">
        <f t="shared" si="14"/>
        <v>0</v>
      </c>
      <c r="L41" s="92">
        <f t="shared" si="14"/>
        <v>0</v>
      </c>
      <c r="M41" s="92">
        <f t="shared" si="14"/>
        <v>0</v>
      </c>
      <c r="N41" s="92">
        <f t="shared" si="14"/>
        <v>0</v>
      </c>
      <c r="O41" s="92">
        <f t="shared" si="14"/>
        <v>0</v>
      </c>
      <c r="P41" s="92">
        <f t="shared" si="14"/>
        <v>0</v>
      </c>
      <c r="Q41" s="92">
        <f t="shared" si="14"/>
        <v>0</v>
      </c>
    </row>
    <row r="43" spans="3:17">
      <c r="C43" s="154" t="s">
        <v>118</v>
      </c>
      <c r="D43" s="13"/>
    </row>
    <row r="44" spans="3:17" s="13" customFormat="1">
      <c r="C44" s="132">
        <v>1</v>
      </c>
      <c r="D44" s="105" t="s">
        <v>15</v>
      </c>
    </row>
    <row r="46" spans="3:17">
      <c r="C46" s="104" t="str">
        <f>"Go to "&amp;BS_TO!$B$1</f>
        <v>Go to Balance Sheet</v>
      </c>
      <c r="D46" s="7"/>
      <c r="E46" s="7"/>
      <c r="F46" s="7"/>
      <c r="G46" s="7"/>
      <c r="H46" s="7"/>
      <c r="I46" s="7"/>
    </row>
  </sheetData>
  <mergeCells count="1">
    <mergeCell ref="B3:F3"/>
  </mergeCells>
  <conditionalFormatting sqref="C41">
    <cfRule type="expression" dxfId="41" priority="2" stopIfTrue="1">
      <formula>I41&lt;&gt;0</formula>
    </cfRule>
  </conditionalFormatting>
  <conditionalFormatting sqref="I41:Q41">
    <cfRule type="cellIs" dxfId="40" priority="1" stopIfTrue="1" operator="notEqual">
      <formula>0</formula>
    </cfRule>
  </conditionalFormatting>
  <hyperlinks>
    <hyperlink ref="C46:I46" location="HL_Sheet_Main_36" tooltip="Go to Balance Sheet" display="HL_Sheet_Main_36"/>
    <hyperlink ref="B3" location="HL_Home" tooltip="Go to Table of Contents" display="HL_Home"/>
    <hyperlink ref="A4" location="$B$14" tooltip="Go to Top of Sheet" display="$B$14"/>
    <hyperlink ref="B4" location="HL_Sheet_Main_18" tooltip="Go to Previous Sheet" display="HL_Sheet_Main_18"/>
    <hyperlink ref="C4" location="HL_Sheet_Main_36" tooltip="Go to Next Sheet" display="HL_Sheet_Main_3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Q76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0</v>
      </c>
    </row>
    <row r="2" spans="1:17" ht="15">
      <c r="B2" s="2" t="str">
        <f>Model_Name</f>
        <v>SMA 13. Multiple Workbooks - Practical Training Exercise 1 (Alert in Ordinary Equity - Outputs)</v>
      </c>
    </row>
    <row r="3" spans="1:17">
      <c r="B3" s="230" t="s">
        <v>48</v>
      </c>
      <c r="C3" s="230"/>
      <c r="D3" s="230"/>
      <c r="E3" s="230"/>
      <c r="F3" s="230"/>
    </row>
    <row r="4" spans="1:17" ht="12.75">
      <c r="A4" s="8" t="s">
        <v>51</v>
      </c>
      <c r="B4" s="9" t="s">
        <v>53</v>
      </c>
      <c r="C4" s="10" t="s">
        <v>102</v>
      </c>
      <c r="D4" s="229" t="s">
        <v>120</v>
      </c>
      <c r="E4" s="229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256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97" t="str">
        <f>"Balance Sheet - Base Case ("&amp;INDEX(LU_Denom,DD_TS_Denom)&amp;")"</f>
        <v>Balance Sheet - Base Case ($Millions)</v>
      </c>
    </row>
    <row r="18" spans="3:17" ht="11.25">
      <c r="C18" s="90" t="s">
        <v>31</v>
      </c>
    </row>
    <row r="20" spans="3:17" hidden="1" outlineLevel="2">
      <c r="E20" s="105" t="s">
        <v>42</v>
      </c>
      <c r="J20" s="91">
        <f>IF(J$12=1,Fcast_TA!$J$106,I22)</f>
        <v>15</v>
      </c>
      <c r="K20" s="91">
        <f>IF(K$12=1,Fcast_TA!$J$106,J22)</f>
        <v>13.25</v>
      </c>
      <c r="L20" s="91">
        <f>IF(L$12=1,Fcast_TA!$J$106,K22)</f>
        <v>10.975</v>
      </c>
      <c r="M20" s="91">
        <f>IF(M$12=1,Fcast_TA!$J$106,L22)</f>
        <v>8.6999999999999993</v>
      </c>
      <c r="N20" s="91">
        <f>IF(N$12=1,Fcast_TA!$J$106,M22)</f>
        <v>6.4249999999999989</v>
      </c>
      <c r="O20" s="91">
        <f>IF(O$12=1,Fcast_TA!$J$106,N22)</f>
        <v>8.9874999999999989</v>
      </c>
      <c r="P20" s="91">
        <f>IF(P$12=1,Fcast_TA!$J$106,O22)</f>
        <v>6.4362499999999985</v>
      </c>
      <c r="Q20" s="91">
        <f>IF(Q$12=1,Fcast_TA!$J$106,P22)</f>
        <v>3.9337499999999981</v>
      </c>
    </row>
    <row r="21" spans="3:17" hidden="1" outlineLevel="2">
      <c r="E21" s="105" t="s">
        <v>43</v>
      </c>
      <c r="J21" s="117">
        <f>CFS_TO!J50</f>
        <v>-1.75</v>
      </c>
      <c r="K21" s="117">
        <f>CFS_TO!K50</f>
        <v>-2.2749999999999999</v>
      </c>
      <c r="L21" s="117">
        <f>CFS_TO!L50</f>
        <v>-2.2749999999999999</v>
      </c>
      <c r="M21" s="117">
        <f>CFS_TO!M50</f>
        <v>-2.2749999999999999</v>
      </c>
      <c r="N21" s="117">
        <f>CFS_TO!N50</f>
        <v>2.5625</v>
      </c>
      <c r="O21" s="117">
        <f>CFS_TO!O50</f>
        <v>-2.5512500000000005</v>
      </c>
      <c r="P21" s="117">
        <f>CFS_TO!P50</f>
        <v>-2.5025000000000004</v>
      </c>
      <c r="Q21" s="117">
        <f>CFS_TO!Q50</f>
        <v>-2.5025000000000004</v>
      </c>
    </row>
    <row r="22" spans="3:17" collapsed="1">
      <c r="D22" s="161" t="s">
        <v>353</v>
      </c>
      <c r="J22" s="91">
        <f t="shared" ref="J22:Q22" si="8">SUM(J20:J21)</f>
        <v>13.25</v>
      </c>
      <c r="K22" s="91">
        <f t="shared" si="8"/>
        <v>10.975</v>
      </c>
      <c r="L22" s="91">
        <f t="shared" si="8"/>
        <v>8.6999999999999993</v>
      </c>
      <c r="M22" s="91">
        <f t="shared" si="8"/>
        <v>6.4249999999999989</v>
      </c>
      <c r="N22" s="91">
        <f t="shared" si="8"/>
        <v>8.9874999999999989</v>
      </c>
      <c r="O22" s="91">
        <f t="shared" si="8"/>
        <v>6.4362499999999985</v>
      </c>
      <c r="P22" s="91">
        <f t="shared" si="8"/>
        <v>3.9337499999999981</v>
      </c>
      <c r="Q22" s="91">
        <f t="shared" si="8"/>
        <v>1.4312499999999977</v>
      </c>
    </row>
    <row r="23" spans="3:17">
      <c r="D23" s="161" t="s">
        <v>197</v>
      </c>
      <c r="J23" s="91">
        <f>Fcast_TO!J37</f>
        <v>0</v>
      </c>
      <c r="K23" s="91">
        <f>Fcast_TO!K37</f>
        <v>0</v>
      </c>
      <c r="L23" s="91">
        <f>Fcast_TO!L37</f>
        <v>0</v>
      </c>
      <c r="M23" s="91">
        <f>Fcast_TO!M37</f>
        <v>0</v>
      </c>
      <c r="N23" s="91">
        <f>Fcast_TO!N37</f>
        <v>0</v>
      </c>
      <c r="O23" s="91">
        <f>Fcast_TO!O37</f>
        <v>0</v>
      </c>
      <c r="P23" s="91">
        <f>Fcast_TO!P37</f>
        <v>0</v>
      </c>
      <c r="Q23" s="91">
        <f>Fcast_TO!Q37</f>
        <v>0</v>
      </c>
    </row>
    <row r="24" spans="3:17" s="13" customFormat="1">
      <c r="D24" s="5" t="str">
        <f>Fcast_TA!D110</f>
        <v>Other Current Assets</v>
      </c>
      <c r="J24" s="91">
        <f>Fcast_TO!J201</f>
        <v>3</v>
      </c>
      <c r="K24" s="91">
        <f>Fcast_TO!K201</f>
        <v>4</v>
      </c>
      <c r="L24" s="91">
        <f>Fcast_TO!L201</f>
        <v>5</v>
      </c>
      <c r="M24" s="91">
        <f>Fcast_TO!M201</f>
        <v>6</v>
      </c>
      <c r="N24" s="91">
        <f>Fcast_TO!N201</f>
        <v>7</v>
      </c>
      <c r="O24" s="91">
        <f>Fcast_TO!O201</f>
        <v>8</v>
      </c>
      <c r="P24" s="91">
        <f>Fcast_TO!P201</f>
        <v>9</v>
      </c>
      <c r="Q24" s="91">
        <f>Fcast_TO!Q201</f>
        <v>10</v>
      </c>
    </row>
    <row r="25" spans="3:17">
      <c r="D25" s="130" t="str">
        <f>"Total "&amp;C18</f>
        <v>Total Current Assets</v>
      </c>
      <c r="J25" s="121">
        <f>J22+SUM(J23:J24)</f>
        <v>16.25</v>
      </c>
      <c r="K25" s="121">
        <f t="shared" ref="K25:Q25" si="9">K22+SUM(K23:K24)</f>
        <v>14.975</v>
      </c>
      <c r="L25" s="121">
        <f t="shared" si="9"/>
        <v>13.7</v>
      </c>
      <c r="M25" s="121">
        <f t="shared" si="9"/>
        <v>12.424999999999999</v>
      </c>
      <c r="N25" s="121">
        <f t="shared" si="9"/>
        <v>15.987499999999999</v>
      </c>
      <c r="O25" s="121">
        <f t="shared" si="9"/>
        <v>14.436249999999998</v>
      </c>
      <c r="P25" s="121">
        <f t="shared" si="9"/>
        <v>12.933749999999998</v>
      </c>
      <c r="Q25" s="121">
        <f t="shared" si="9"/>
        <v>11.431249999999999</v>
      </c>
    </row>
    <row r="26" spans="3:17">
      <c r="J26" s="91"/>
      <c r="K26" s="91"/>
      <c r="L26" s="91"/>
      <c r="M26" s="91"/>
      <c r="N26" s="91"/>
      <c r="O26" s="91"/>
      <c r="P26" s="91"/>
      <c r="Q26" s="91"/>
    </row>
    <row r="27" spans="3:17" ht="11.25">
      <c r="C27" s="90" t="s">
        <v>32</v>
      </c>
      <c r="J27" s="91"/>
      <c r="K27" s="91"/>
      <c r="L27" s="91"/>
      <c r="M27" s="91"/>
      <c r="N27" s="91"/>
      <c r="O27" s="91"/>
      <c r="P27" s="91"/>
      <c r="Q27" s="91"/>
    </row>
    <row r="28" spans="3:17">
      <c r="J28" s="91"/>
      <c r="K28" s="91"/>
      <c r="L28" s="91"/>
      <c r="M28" s="91"/>
      <c r="N28" s="91"/>
      <c r="O28" s="91"/>
      <c r="P28" s="91"/>
      <c r="Q28" s="91"/>
    </row>
    <row r="29" spans="3:17">
      <c r="D29" s="161" t="s">
        <v>321</v>
      </c>
      <c r="J29" s="91">
        <f>Fcast_TO!J78</f>
        <v>145</v>
      </c>
      <c r="K29" s="91">
        <f>Fcast_TO!K78</f>
        <v>145</v>
      </c>
      <c r="L29" s="91">
        <f>Fcast_TO!L78</f>
        <v>145</v>
      </c>
      <c r="M29" s="91">
        <f>Fcast_TO!M78</f>
        <v>145</v>
      </c>
      <c r="N29" s="91">
        <f>Fcast_TO!N78</f>
        <v>145</v>
      </c>
      <c r="O29" s="91">
        <f>Fcast_TO!O78</f>
        <v>145</v>
      </c>
      <c r="P29" s="91">
        <f>Fcast_TO!P78</f>
        <v>145</v>
      </c>
      <c r="Q29" s="91">
        <f>Fcast_TO!Q78</f>
        <v>145</v>
      </c>
    </row>
    <row r="30" spans="3:17" s="13" customFormat="1">
      <c r="D30" s="161" t="s">
        <v>338</v>
      </c>
      <c r="J30" s="91">
        <f>Fcast_TO!J90</f>
        <v>11.5</v>
      </c>
      <c r="K30" s="91">
        <f>Fcast_TO!K90</f>
        <v>11.5</v>
      </c>
      <c r="L30" s="91">
        <f>Fcast_TO!L90</f>
        <v>11.5</v>
      </c>
      <c r="M30" s="91">
        <f>Fcast_TO!M90</f>
        <v>11.5</v>
      </c>
      <c r="N30" s="91">
        <f>Fcast_TO!N90</f>
        <v>11.5</v>
      </c>
      <c r="O30" s="91">
        <f>Fcast_TO!O90</f>
        <v>11.5</v>
      </c>
      <c r="P30" s="91">
        <f>Fcast_TO!P90</f>
        <v>11.5</v>
      </c>
      <c r="Q30" s="91">
        <f>Fcast_TO!Q90</f>
        <v>11.5</v>
      </c>
    </row>
    <row r="31" spans="3:17">
      <c r="D31" s="105" t="s">
        <v>4</v>
      </c>
      <c r="J31" s="170">
        <v>0</v>
      </c>
      <c r="K31" s="170">
        <v>0</v>
      </c>
      <c r="L31" s="170">
        <v>0</v>
      </c>
      <c r="M31" s="170">
        <v>0</v>
      </c>
      <c r="N31" s="170">
        <v>0</v>
      </c>
      <c r="O31" s="170">
        <v>0</v>
      </c>
      <c r="P31" s="170">
        <v>0</v>
      </c>
      <c r="Q31" s="170">
        <v>0</v>
      </c>
    </row>
    <row r="32" spans="3:17" s="13" customFormat="1">
      <c r="D32" s="5" t="str">
        <f>Fcast_TA!D112</f>
        <v>Other Non-Current Assets</v>
      </c>
      <c r="J32" s="91">
        <f>Fcast_TO!J213</f>
        <v>5</v>
      </c>
      <c r="K32" s="91">
        <f>Fcast_TO!K213</f>
        <v>6</v>
      </c>
      <c r="L32" s="91">
        <f>Fcast_TO!L213</f>
        <v>7</v>
      </c>
      <c r="M32" s="91">
        <f>Fcast_TO!M213</f>
        <v>8</v>
      </c>
      <c r="N32" s="91">
        <f>Fcast_TO!N213</f>
        <v>9</v>
      </c>
      <c r="O32" s="91">
        <f>Fcast_TO!O213</f>
        <v>10</v>
      </c>
      <c r="P32" s="91">
        <f>Fcast_TO!P213</f>
        <v>11</v>
      </c>
      <c r="Q32" s="91">
        <f>Fcast_TO!Q213</f>
        <v>12</v>
      </c>
    </row>
    <row r="33" spans="3:17">
      <c r="D33" s="130" t="str">
        <f>"Total "&amp;C27</f>
        <v>Total Non-Current Assets</v>
      </c>
      <c r="J33" s="121">
        <f>SUM(J29:J32)</f>
        <v>161.5</v>
      </c>
      <c r="K33" s="121">
        <f t="shared" ref="K33:Q33" si="10">SUM(K29:K32)</f>
        <v>162.5</v>
      </c>
      <c r="L33" s="121">
        <f t="shared" si="10"/>
        <v>163.5</v>
      </c>
      <c r="M33" s="121">
        <f t="shared" si="10"/>
        <v>164.5</v>
      </c>
      <c r="N33" s="121">
        <f t="shared" si="10"/>
        <v>165.5</v>
      </c>
      <c r="O33" s="121">
        <f t="shared" si="10"/>
        <v>166.5</v>
      </c>
      <c r="P33" s="121">
        <f t="shared" si="10"/>
        <v>167.5</v>
      </c>
      <c r="Q33" s="121">
        <f t="shared" si="10"/>
        <v>168.5</v>
      </c>
    </row>
    <row r="34" spans="3:17">
      <c r="J34" s="91"/>
      <c r="K34" s="91"/>
      <c r="L34" s="91"/>
      <c r="M34" s="91"/>
      <c r="N34" s="91"/>
      <c r="O34" s="91"/>
      <c r="P34" s="91"/>
      <c r="Q34" s="91"/>
    </row>
    <row r="35" spans="3:17" ht="11.25">
      <c r="C35" s="90" t="s">
        <v>33</v>
      </c>
      <c r="J35" s="134">
        <f t="shared" ref="J35:Q35" si="11">J25+J33</f>
        <v>177.75</v>
      </c>
      <c r="K35" s="134">
        <f t="shared" si="11"/>
        <v>177.47499999999999</v>
      </c>
      <c r="L35" s="134">
        <f t="shared" si="11"/>
        <v>177.2</v>
      </c>
      <c r="M35" s="134">
        <f t="shared" si="11"/>
        <v>176.92500000000001</v>
      </c>
      <c r="N35" s="134">
        <f t="shared" si="11"/>
        <v>181.48750000000001</v>
      </c>
      <c r="O35" s="134">
        <f t="shared" si="11"/>
        <v>180.93625</v>
      </c>
      <c r="P35" s="134">
        <f t="shared" si="11"/>
        <v>180.43375</v>
      </c>
      <c r="Q35" s="134">
        <f t="shared" si="11"/>
        <v>179.93125000000001</v>
      </c>
    </row>
    <row r="36" spans="3:17">
      <c r="J36" s="91"/>
      <c r="K36" s="91"/>
      <c r="L36" s="91"/>
      <c r="M36" s="91"/>
      <c r="N36" s="91"/>
      <c r="O36" s="91"/>
      <c r="P36" s="91"/>
      <c r="Q36" s="91"/>
    </row>
    <row r="37" spans="3:17" ht="11.25">
      <c r="C37" s="90" t="s">
        <v>34</v>
      </c>
      <c r="J37" s="91"/>
      <c r="K37" s="91"/>
      <c r="L37" s="91"/>
      <c r="M37" s="91"/>
      <c r="N37" s="91"/>
      <c r="O37" s="91"/>
      <c r="P37" s="91"/>
      <c r="Q37" s="91"/>
    </row>
    <row r="38" spans="3:17">
      <c r="J38" s="91"/>
      <c r="K38" s="91"/>
      <c r="L38" s="91"/>
      <c r="M38" s="91"/>
      <c r="N38" s="91"/>
      <c r="O38" s="91"/>
      <c r="P38" s="91"/>
      <c r="Q38" s="91"/>
    </row>
    <row r="39" spans="3:17">
      <c r="D39" s="164" t="s">
        <v>198</v>
      </c>
      <c r="J39" s="91">
        <f>Fcast_TO!J54</f>
        <v>0</v>
      </c>
      <c r="K39" s="91">
        <f>Fcast_TO!K54</f>
        <v>0</v>
      </c>
      <c r="L39" s="91">
        <f>Fcast_TO!L54</f>
        <v>0</v>
      </c>
      <c r="M39" s="91">
        <f>Fcast_TO!M54</f>
        <v>0</v>
      </c>
      <c r="N39" s="91">
        <f>Fcast_TO!N54</f>
        <v>0</v>
      </c>
      <c r="O39" s="91">
        <f>Fcast_TO!O54</f>
        <v>0</v>
      </c>
      <c r="P39" s="91">
        <f>Fcast_TO!P54</f>
        <v>0</v>
      </c>
      <c r="Q39" s="91">
        <f>Fcast_TO!Q54</f>
        <v>0</v>
      </c>
    </row>
    <row r="40" spans="3:17">
      <c r="D40" s="164" t="s">
        <v>9</v>
      </c>
      <c r="J40" s="91">
        <f>Fcast_TO!J192</f>
        <v>-0.97500000000000009</v>
      </c>
      <c r="K40" s="91">
        <f>Fcast_TO!K192</f>
        <v>-0.9750000000000002</v>
      </c>
      <c r="L40" s="91">
        <f>Fcast_TO!L192</f>
        <v>-0.9750000000000002</v>
      </c>
      <c r="M40" s="91">
        <f>Fcast_TO!M192</f>
        <v>-0.9750000000000002</v>
      </c>
      <c r="N40" s="91">
        <f>Fcast_TO!N192</f>
        <v>-1.0237500000000002</v>
      </c>
      <c r="O40" s="91">
        <f>Fcast_TO!O192</f>
        <v>-1.0725000000000005</v>
      </c>
      <c r="P40" s="91">
        <f>Fcast_TO!P192</f>
        <v>-1.0725000000000005</v>
      </c>
      <c r="Q40" s="91">
        <f>Fcast_TO!Q192</f>
        <v>-1.0725000000000005</v>
      </c>
    </row>
    <row r="41" spans="3:17">
      <c r="D41" s="164" t="s">
        <v>343</v>
      </c>
      <c r="J41" s="91">
        <f>Fcast_TO!J127</f>
        <v>0</v>
      </c>
      <c r="K41" s="91">
        <f>Fcast_TO!K127</f>
        <v>0</v>
      </c>
      <c r="L41" s="91">
        <f>Fcast_TO!L127</f>
        <v>0</v>
      </c>
      <c r="M41" s="91">
        <f>Fcast_TO!M127</f>
        <v>0</v>
      </c>
      <c r="N41" s="91">
        <f>Fcast_TO!N127</f>
        <v>0</v>
      </c>
      <c r="O41" s="91">
        <f>Fcast_TO!O127</f>
        <v>0</v>
      </c>
      <c r="P41" s="91">
        <f>Fcast_TO!P127</f>
        <v>0</v>
      </c>
      <c r="Q41" s="91">
        <f>Fcast_TO!Q127</f>
        <v>0</v>
      </c>
    </row>
    <row r="42" spans="3:17">
      <c r="D42" s="164" t="s">
        <v>35</v>
      </c>
      <c r="J42" s="91">
        <f>Fcast_TO!J143</f>
        <v>0</v>
      </c>
      <c r="K42" s="91">
        <f>Fcast_TO!K143</f>
        <v>0</v>
      </c>
      <c r="L42" s="91">
        <f>Fcast_TO!L143</f>
        <v>0</v>
      </c>
      <c r="M42" s="91">
        <f>Fcast_TO!M143</f>
        <v>0</v>
      </c>
      <c r="N42" s="91">
        <f>Fcast_TO!N143</f>
        <v>0</v>
      </c>
      <c r="O42" s="91">
        <f>Fcast_TO!O143</f>
        <v>0</v>
      </c>
      <c r="P42" s="91">
        <f>Fcast_TO!P143</f>
        <v>0</v>
      </c>
      <c r="Q42" s="91">
        <f>Fcast_TO!Q143</f>
        <v>0</v>
      </c>
    </row>
    <row r="43" spans="3:17" s="13" customFormat="1">
      <c r="D43" s="5" t="str">
        <f>Fcast_TA!D111</f>
        <v>Other Current Liabilities</v>
      </c>
      <c r="J43" s="91">
        <f>Fcast_TO!J207</f>
        <v>4</v>
      </c>
      <c r="K43" s="91">
        <f>Fcast_TO!K207</f>
        <v>5</v>
      </c>
      <c r="L43" s="91">
        <f>Fcast_TO!L207</f>
        <v>6</v>
      </c>
      <c r="M43" s="91">
        <f>Fcast_TO!M207</f>
        <v>7</v>
      </c>
      <c r="N43" s="91">
        <f>Fcast_TO!N207</f>
        <v>8</v>
      </c>
      <c r="O43" s="91">
        <f>Fcast_TO!O207</f>
        <v>9</v>
      </c>
      <c r="P43" s="91">
        <f>Fcast_TO!P207</f>
        <v>10</v>
      </c>
      <c r="Q43" s="91">
        <f>Fcast_TO!Q207</f>
        <v>11</v>
      </c>
    </row>
    <row r="44" spans="3:17">
      <c r="D44" s="130" t="str">
        <f>"Total "&amp;C37</f>
        <v>Total Current Liabilities</v>
      </c>
      <c r="J44" s="121">
        <f>SUM(J39:J43)</f>
        <v>3.0249999999999999</v>
      </c>
      <c r="K44" s="121">
        <f t="shared" ref="K44:Q44" si="12">SUM(K39:K43)</f>
        <v>4.0249999999999995</v>
      </c>
      <c r="L44" s="121">
        <f t="shared" si="12"/>
        <v>5.0249999999999995</v>
      </c>
      <c r="M44" s="121">
        <f t="shared" si="12"/>
        <v>6.0249999999999995</v>
      </c>
      <c r="N44" s="121">
        <f t="shared" si="12"/>
        <v>6.9762500000000003</v>
      </c>
      <c r="O44" s="121">
        <f t="shared" si="12"/>
        <v>7.9274999999999993</v>
      </c>
      <c r="P44" s="121">
        <f t="shared" si="12"/>
        <v>8.9275000000000002</v>
      </c>
      <c r="Q44" s="121">
        <f t="shared" si="12"/>
        <v>9.9275000000000002</v>
      </c>
    </row>
    <row r="45" spans="3:17">
      <c r="J45" s="91"/>
      <c r="K45" s="91"/>
      <c r="L45" s="91"/>
      <c r="M45" s="91"/>
      <c r="N45" s="91"/>
      <c r="O45" s="91"/>
      <c r="P45" s="91"/>
      <c r="Q45" s="91"/>
    </row>
    <row r="46" spans="3:17" ht="11.25">
      <c r="C46" s="90" t="s">
        <v>36</v>
      </c>
      <c r="J46" s="91"/>
      <c r="K46" s="91"/>
      <c r="L46" s="91"/>
      <c r="M46" s="91"/>
      <c r="N46" s="91"/>
      <c r="O46" s="91"/>
      <c r="P46" s="91"/>
      <c r="Q46" s="91"/>
    </row>
    <row r="47" spans="3:17">
      <c r="J47" s="91"/>
      <c r="K47" s="91"/>
      <c r="L47" s="91"/>
      <c r="M47" s="91"/>
      <c r="N47" s="91"/>
      <c r="O47" s="91"/>
      <c r="P47" s="91"/>
      <c r="Q47" s="91"/>
    </row>
    <row r="48" spans="3:17">
      <c r="D48" s="161" t="s">
        <v>159</v>
      </c>
      <c r="J48" s="91">
        <f>Fcast_TO!J110</f>
        <v>50</v>
      </c>
      <c r="K48" s="91">
        <f>Fcast_TO!K110</f>
        <v>50</v>
      </c>
      <c r="L48" s="91">
        <f>Fcast_TO!L110</f>
        <v>50</v>
      </c>
      <c r="M48" s="91">
        <f>Fcast_TO!M110</f>
        <v>50</v>
      </c>
      <c r="N48" s="91">
        <f>Fcast_TO!N110</f>
        <v>55</v>
      </c>
      <c r="O48" s="91">
        <f>Fcast_TO!O110</f>
        <v>55</v>
      </c>
      <c r="P48" s="91">
        <f>Fcast_TO!P110</f>
        <v>55</v>
      </c>
      <c r="Q48" s="91">
        <f>Fcast_TO!Q110</f>
        <v>55</v>
      </c>
    </row>
    <row r="49" spans="2:17">
      <c r="D49" s="105" t="s">
        <v>5</v>
      </c>
      <c r="J49" s="170">
        <v>0</v>
      </c>
      <c r="K49" s="170">
        <v>0</v>
      </c>
      <c r="L49" s="170">
        <v>0</v>
      </c>
      <c r="M49" s="170">
        <v>0</v>
      </c>
      <c r="N49" s="170">
        <v>0</v>
      </c>
      <c r="O49" s="170">
        <v>0</v>
      </c>
      <c r="P49" s="170">
        <v>0</v>
      </c>
      <c r="Q49" s="170">
        <v>0</v>
      </c>
    </row>
    <row r="50" spans="2:17" s="13" customFormat="1">
      <c r="D50" s="5" t="str">
        <f>Fcast_TA!D113</f>
        <v>Other Non-Current Liabilities</v>
      </c>
      <c r="J50" s="91">
        <f>Fcast_TO!J219</f>
        <v>6</v>
      </c>
      <c r="K50" s="91">
        <f>Fcast_TO!K219</f>
        <v>7</v>
      </c>
      <c r="L50" s="91">
        <f>Fcast_TO!L219</f>
        <v>8</v>
      </c>
      <c r="M50" s="91">
        <f>Fcast_TO!M219</f>
        <v>9</v>
      </c>
      <c r="N50" s="91">
        <f>Fcast_TO!N219</f>
        <v>10</v>
      </c>
      <c r="O50" s="91">
        <f>Fcast_TO!O219</f>
        <v>11</v>
      </c>
      <c r="P50" s="91">
        <f>Fcast_TO!P219</f>
        <v>12</v>
      </c>
      <c r="Q50" s="91">
        <f>Fcast_TO!Q219</f>
        <v>13</v>
      </c>
    </row>
    <row r="51" spans="2:17">
      <c r="D51" s="130" t="str">
        <f>"Total "&amp;C46</f>
        <v>Total Non-Current Liabilities</v>
      </c>
      <c r="J51" s="121">
        <f>SUM(J48:J50)</f>
        <v>56</v>
      </c>
      <c r="K51" s="121">
        <f t="shared" ref="K51:Q51" si="13">SUM(K48:K50)</f>
        <v>57</v>
      </c>
      <c r="L51" s="121">
        <f t="shared" si="13"/>
        <v>58</v>
      </c>
      <c r="M51" s="121">
        <f t="shared" si="13"/>
        <v>59</v>
      </c>
      <c r="N51" s="121">
        <f t="shared" si="13"/>
        <v>65</v>
      </c>
      <c r="O51" s="121">
        <f t="shared" si="13"/>
        <v>66</v>
      </c>
      <c r="P51" s="121">
        <f t="shared" si="13"/>
        <v>67</v>
      </c>
      <c r="Q51" s="121">
        <f t="shared" si="13"/>
        <v>68</v>
      </c>
    </row>
    <row r="52" spans="2:17">
      <c r="J52" s="91"/>
      <c r="K52" s="91"/>
      <c r="L52" s="91"/>
      <c r="M52" s="91"/>
      <c r="N52" s="91"/>
      <c r="O52" s="91"/>
      <c r="P52" s="91"/>
      <c r="Q52" s="91"/>
    </row>
    <row r="53" spans="2:17" ht="11.25">
      <c r="C53" s="90" t="s">
        <v>37</v>
      </c>
      <c r="J53" s="134">
        <f t="shared" ref="J53:Q53" si="14">J44+J51</f>
        <v>59.024999999999999</v>
      </c>
      <c r="K53" s="134">
        <f t="shared" si="14"/>
        <v>61.024999999999999</v>
      </c>
      <c r="L53" s="134">
        <f t="shared" si="14"/>
        <v>63.024999999999999</v>
      </c>
      <c r="M53" s="134">
        <f t="shared" si="14"/>
        <v>65.025000000000006</v>
      </c>
      <c r="N53" s="134">
        <f t="shared" si="14"/>
        <v>71.976249999999993</v>
      </c>
      <c r="O53" s="134">
        <f t="shared" si="14"/>
        <v>73.927499999999995</v>
      </c>
      <c r="P53" s="134">
        <f t="shared" si="14"/>
        <v>75.927499999999995</v>
      </c>
      <c r="Q53" s="134">
        <f t="shared" si="14"/>
        <v>77.927499999999995</v>
      </c>
    </row>
    <row r="54" spans="2:17">
      <c r="J54" s="91"/>
      <c r="K54" s="91"/>
      <c r="L54" s="91"/>
      <c r="M54" s="91"/>
      <c r="N54" s="91"/>
      <c r="O54" s="91"/>
      <c r="P54" s="91"/>
      <c r="Q54" s="91"/>
    </row>
    <row r="55" spans="2:17" ht="12" thickBot="1">
      <c r="C55" s="90" t="s">
        <v>38</v>
      </c>
      <c r="J55" s="133">
        <f t="shared" ref="J55:Q55" si="15">J35-J53</f>
        <v>118.72499999999999</v>
      </c>
      <c r="K55" s="133">
        <f t="shared" si="15"/>
        <v>116.44999999999999</v>
      </c>
      <c r="L55" s="133">
        <f t="shared" si="15"/>
        <v>114.17499999999998</v>
      </c>
      <c r="M55" s="133">
        <f t="shared" si="15"/>
        <v>111.9</v>
      </c>
      <c r="N55" s="133">
        <f t="shared" si="15"/>
        <v>109.51125000000002</v>
      </c>
      <c r="O55" s="133">
        <f t="shared" si="15"/>
        <v>107.00875000000001</v>
      </c>
      <c r="P55" s="133">
        <f t="shared" si="15"/>
        <v>104.50625000000001</v>
      </c>
      <c r="Q55" s="133">
        <f t="shared" si="15"/>
        <v>102.00375000000001</v>
      </c>
    </row>
    <row r="56" spans="2:17" ht="11.25" thickTop="1">
      <c r="B56" s="13"/>
      <c r="C56" s="13"/>
      <c r="D56" s="13"/>
      <c r="J56" s="91"/>
      <c r="K56" s="91"/>
      <c r="L56" s="91"/>
      <c r="M56" s="91"/>
      <c r="N56" s="91"/>
      <c r="O56" s="91"/>
      <c r="P56" s="91"/>
      <c r="Q56" s="91"/>
    </row>
    <row r="57" spans="2:17" ht="11.25">
      <c r="C57" s="90" t="s">
        <v>39</v>
      </c>
      <c r="J57" s="91"/>
      <c r="K57" s="91"/>
      <c r="L57" s="91"/>
      <c r="M57" s="91"/>
      <c r="N57" s="91"/>
      <c r="O57" s="91"/>
      <c r="P57" s="91"/>
      <c r="Q57" s="91"/>
    </row>
    <row r="58" spans="2:17">
      <c r="J58" s="91"/>
      <c r="K58" s="91"/>
      <c r="L58" s="91"/>
      <c r="M58" s="91"/>
      <c r="N58" s="91"/>
      <c r="O58" s="91"/>
      <c r="P58" s="91"/>
      <c r="Q58" s="91"/>
    </row>
    <row r="59" spans="2:17">
      <c r="D59" s="105" t="s">
        <v>177</v>
      </c>
      <c r="J59" s="91">
        <f>Fcast_TO!J136</f>
        <v>75</v>
      </c>
      <c r="K59" s="91">
        <f>Fcast_TO!K136</f>
        <v>75</v>
      </c>
      <c r="L59" s="91">
        <f>Fcast_TO!L136</f>
        <v>75</v>
      </c>
      <c r="M59" s="91">
        <f>Fcast_TO!M136</f>
        <v>75</v>
      </c>
      <c r="N59" s="91">
        <f>Fcast_TO!N136</f>
        <v>75</v>
      </c>
      <c r="O59" s="91">
        <f>Fcast_TO!O136</f>
        <v>75</v>
      </c>
      <c r="P59" s="91">
        <f>Fcast_TO!P136</f>
        <v>75</v>
      </c>
      <c r="Q59" s="91">
        <f>Fcast_TO!Q136</f>
        <v>75</v>
      </c>
    </row>
    <row r="60" spans="2:17" hidden="1" outlineLevel="2">
      <c r="J60" s="91"/>
      <c r="K60" s="91"/>
      <c r="L60" s="91"/>
      <c r="M60" s="91"/>
      <c r="N60" s="91"/>
      <c r="O60" s="91"/>
      <c r="P60" s="91"/>
      <c r="Q60" s="91"/>
    </row>
    <row r="61" spans="2:17" hidden="1" outlineLevel="2">
      <c r="E61" s="105" t="s">
        <v>183</v>
      </c>
      <c r="J61" s="137">
        <f>IF(J$12=1,0,I65)</f>
        <v>0</v>
      </c>
      <c r="K61" s="137">
        <f t="shared" ref="K61:Q61" si="16">IF(K$12=1,0,J65)</f>
        <v>43.724999999999994</v>
      </c>
      <c r="L61" s="137">
        <f t="shared" si="16"/>
        <v>41.449999999999996</v>
      </c>
      <c r="M61" s="137">
        <f t="shared" si="16"/>
        <v>39.174999999999997</v>
      </c>
      <c r="N61" s="137">
        <f t="shared" si="16"/>
        <v>36.9</v>
      </c>
      <c r="O61" s="137">
        <f t="shared" si="16"/>
        <v>34.511249999999997</v>
      </c>
      <c r="P61" s="137">
        <f t="shared" si="16"/>
        <v>32.008749999999999</v>
      </c>
      <c r="Q61" s="137">
        <f t="shared" si="16"/>
        <v>29.506249999999998</v>
      </c>
    </row>
    <row r="62" spans="2:17" s="13" customFormat="1" hidden="1" outlineLevel="2">
      <c r="E62" s="161" t="s">
        <v>356</v>
      </c>
      <c r="J62" s="137">
        <f>IF(J$12=1,J55-J59-J61-J63-J64,0)</f>
        <v>45.999999999999993</v>
      </c>
      <c r="K62" s="137">
        <f t="shared" ref="K62:Q62" si="17">IF(K$12=1,K55-K59-K61-K63-K64,0)</f>
        <v>0</v>
      </c>
      <c r="L62" s="137">
        <f t="shared" si="17"/>
        <v>0</v>
      </c>
      <c r="M62" s="137">
        <f t="shared" si="17"/>
        <v>0</v>
      </c>
      <c r="N62" s="137">
        <f t="shared" si="17"/>
        <v>0</v>
      </c>
      <c r="O62" s="137">
        <f t="shared" si="17"/>
        <v>0</v>
      </c>
      <c r="P62" s="137">
        <f t="shared" si="17"/>
        <v>0</v>
      </c>
      <c r="Q62" s="137">
        <f t="shared" si="17"/>
        <v>0</v>
      </c>
    </row>
    <row r="63" spans="2:17" hidden="1" outlineLevel="2">
      <c r="E63" s="105" t="s">
        <v>44</v>
      </c>
      <c r="J63" s="137">
        <f>IS_TO!J39</f>
        <v>-2.2749999999999999</v>
      </c>
      <c r="K63" s="137">
        <f>IS_TO!K39</f>
        <v>-2.2749999999999999</v>
      </c>
      <c r="L63" s="137">
        <f>IS_TO!L39</f>
        <v>-2.2749999999999999</v>
      </c>
      <c r="M63" s="137">
        <f>IS_TO!M39</f>
        <v>-2.2749999999999999</v>
      </c>
      <c r="N63" s="137">
        <f>IS_TO!N39</f>
        <v>-2.3887499999999999</v>
      </c>
      <c r="O63" s="137">
        <f>IS_TO!O39</f>
        <v>-2.5025000000000004</v>
      </c>
      <c r="P63" s="137">
        <f>IS_TO!P39</f>
        <v>-2.5025000000000004</v>
      </c>
      <c r="Q63" s="137">
        <f>IS_TO!Q39</f>
        <v>-2.5025000000000004</v>
      </c>
    </row>
    <row r="64" spans="2:17" hidden="1" outlineLevel="2">
      <c r="E64" s="105" t="s">
        <v>45</v>
      </c>
      <c r="J64" s="169">
        <f>-Fcast_TO!J141</f>
        <v>0</v>
      </c>
      <c r="K64" s="169">
        <f>-Fcast_TO!K141</f>
        <v>0</v>
      </c>
      <c r="L64" s="169">
        <f>-Fcast_TO!L141</f>
        <v>0</v>
      </c>
      <c r="M64" s="169">
        <f>-Fcast_TO!M141</f>
        <v>0</v>
      </c>
      <c r="N64" s="169">
        <f>-Fcast_TO!N141</f>
        <v>0</v>
      </c>
      <c r="O64" s="169">
        <f>-Fcast_TO!O141</f>
        <v>0</v>
      </c>
      <c r="P64" s="169">
        <f>-Fcast_TO!P141</f>
        <v>0</v>
      </c>
      <c r="Q64" s="169">
        <f>-Fcast_TO!Q141</f>
        <v>0</v>
      </c>
    </row>
    <row r="65" spans="3:17" collapsed="1">
      <c r="D65" s="161" t="s">
        <v>40</v>
      </c>
      <c r="J65" s="137">
        <f>SUM(J61:J64)</f>
        <v>43.724999999999994</v>
      </c>
      <c r="K65" s="137">
        <f t="shared" ref="K65:Q65" si="18">SUM(K61:K64)</f>
        <v>41.449999999999996</v>
      </c>
      <c r="L65" s="137">
        <f t="shared" si="18"/>
        <v>39.174999999999997</v>
      </c>
      <c r="M65" s="137">
        <f t="shared" si="18"/>
        <v>36.9</v>
      </c>
      <c r="N65" s="137">
        <f t="shared" si="18"/>
        <v>34.511249999999997</v>
      </c>
      <c r="O65" s="137">
        <f t="shared" si="18"/>
        <v>32.008749999999999</v>
      </c>
      <c r="P65" s="137">
        <f t="shared" si="18"/>
        <v>29.506249999999998</v>
      </c>
      <c r="Q65" s="137">
        <f t="shared" si="18"/>
        <v>27.003749999999997</v>
      </c>
    </row>
    <row r="66" spans="3:17">
      <c r="J66" s="91"/>
      <c r="K66" s="91"/>
      <c r="L66" s="91"/>
      <c r="M66" s="91"/>
      <c r="N66" s="91"/>
      <c r="O66" s="91"/>
      <c r="P66" s="91"/>
      <c r="Q66" s="91"/>
    </row>
    <row r="67" spans="3:17" ht="11.25">
      <c r="C67" s="120" t="str">
        <f>"Total "&amp;C57</f>
        <v>Total Equity</v>
      </c>
      <c r="J67" s="134">
        <f t="shared" ref="J67:Q67" si="19">J59+J65</f>
        <v>118.72499999999999</v>
      </c>
      <c r="K67" s="134">
        <f t="shared" si="19"/>
        <v>116.44999999999999</v>
      </c>
      <c r="L67" s="134">
        <f t="shared" si="19"/>
        <v>114.175</v>
      </c>
      <c r="M67" s="134">
        <f t="shared" si="19"/>
        <v>111.9</v>
      </c>
      <c r="N67" s="134">
        <f t="shared" si="19"/>
        <v>109.51124999999999</v>
      </c>
      <c r="O67" s="134">
        <f t="shared" si="19"/>
        <v>107.00874999999999</v>
      </c>
      <c r="P67" s="134">
        <f t="shared" si="19"/>
        <v>104.50624999999999</v>
      </c>
      <c r="Q67" s="134">
        <f t="shared" si="19"/>
        <v>102.00375</v>
      </c>
    </row>
    <row r="68" spans="3:17">
      <c r="J68" s="168"/>
      <c r="K68" s="168"/>
      <c r="L68" s="168"/>
      <c r="M68" s="168"/>
      <c r="N68" s="168"/>
      <c r="O68" s="168"/>
      <c r="P68" s="168"/>
      <c r="Q68" s="168"/>
    </row>
    <row r="69" spans="3:17" hidden="1" outlineLevel="2">
      <c r="D69" s="161" t="s">
        <v>354</v>
      </c>
      <c r="J69" s="135">
        <f t="shared" ref="J69:Q69" si="20">IF(ISERROR(J55-J67),1,0)</f>
        <v>0</v>
      </c>
      <c r="K69" s="135">
        <f t="shared" si="20"/>
        <v>0</v>
      </c>
      <c r="L69" s="135">
        <f t="shared" si="20"/>
        <v>0</v>
      </c>
      <c r="M69" s="135">
        <f t="shared" si="20"/>
        <v>0</v>
      </c>
      <c r="N69" s="135">
        <f t="shared" si="20"/>
        <v>0</v>
      </c>
      <c r="O69" s="135">
        <f t="shared" si="20"/>
        <v>0</v>
      </c>
      <c r="P69" s="135">
        <f t="shared" si="20"/>
        <v>0</v>
      </c>
      <c r="Q69" s="135">
        <f t="shared" si="20"/>
        <v>0</v>
      </c>
    </row>
    <row r="70" spans="3:17" hidden="1" outlineLevel="2">
      <c r="D70" s="161" t="s">
        <v>282</v>
      </c>
      <c r="J70" s="119">
        <f t="shared" ref="J70:Q70" si="21">IF(J69&lt;&gt;0,0,(ROUND(J55-J67,5)&lt;&gt;0)*1)</f>
        <v>0</v>
      </c>
      <c r="K70" s="119">
        <f t="shared" si="21"/>
        <v>0</v>
      </c>
      <c r="L70" s="119">
        <f t="shared" si="21"/>
        <v>0</v>
      </c>
      <c r="M70" s="119">
        <f t="shared" si="21"/>
        <v>0</v>
      </c>
      <c r="N70" s="119">
        <f t="shared" si="21"/>
        <v>0</v>
      </c>
      <c r="O70" s="119">
        <f t="shared" si="21"/>
        <v>0</v>
      </c>
      <c r="P70" s="119">
        <f t="shared" si="21"/>
        <v>0</v>
      </c>
      <c r="Q70" s="119">
        <f t="shared" si="21"/>
        <v>0</v>
      </c>
    </row>
    <row r="71" spans="3:17" collapsed="1">
      <c r="C71" s="161" t="s">
        <v>276</v>
      </c>
      <c r="I71" s="95">
        <f>IF(ISERROR(SUM(J71:Q71)),0,MIN(SUM(J71:Q71),1))</f>
        <v>0</v>
      </c>
      <c r="J71" s="92">
        <f t="shared" ref="J71:Q71" si="22">MIN(SUM(J69:J70),1)</f>
        <v>0</v>
      </c>
      <c r="K71" s="92">
        <f t="shared" si="22"/>
        <v>0</v>
      </c>
      <c r="L71" s="92">
        <f t="shared" si="22"/>
        <v>0</v>
      </c>
      <c r="M71" s="92">
        <f t="shared" si="22"/>
        <v>0</v>
      </c>
      <c r="N71" s="92">
        <f t="shared" si="22"/>
        <v>0</v>
      </c>
      <c r="O71" s="92">
        <f t="shared" si="22"/>
        <v>0</v>
      </c>
      <c r="P71" s="92">
        <f t="shared" si="22"/>
        <v>0</v>
      </c>
      <c r="Q71" s="92">
        <f t="shared" si="22"/>
        <v>0</v>
      </c>
    </row>
    <row r="72" spans="3:17" hidden="1" outlineLevel="2"/>
    <row r="73" spans="3:17" collapsed="1">
      <c r="C73" s="161" t="s">
        <v>283</v>
      </c>
      <c r="I73" s="95">
        <f>IF(ISERROR(SUM(J73:Q73)),0,MIN(SUM(J73:Q73),1))</f>
        <v>0</v>
      </c>
      <c r="J73" s="92">
        <f t="shared" ref="J73:Q73" si="23">IF(ISERROR(J22),0,(J22&lt;0)*1)</f>
        <v>0</v>
      </c>
      <c r="K73" s="92">
        <f t="shared" si="23"/>
        <v>0</v>
      </c>
      <c r="L73" s="92">
        <f t="shared" si="23"/>
        <v>0</v>
      </c>
      <c r="M73" s="92">
        <f t="shared" si="23"/>
        <v>0</v>
      </c>
      <c r="N73" s="92">
        <f t="shared" si="23"/>
        <v>0</v>
      </c>
      <c r="O73" s="92">
        <f t="shared" si="23"/>
        <v>0</v>
      </c>
      <c r="P73" s="92">
        <f t="shared" si="23"/>
        <v>0</v>
      </c>
      <c r="Q73" s="92">
        <f t="shared" si="23"/>
        <v>0</v>
      </c>
    </row>
    <row r="75" spans="3:17">
      <c r="C75" s="104" t="str">
        <f>"Go to "&amp;Err_Chk_11_Hdg</f>
        <v>Go to Income Statement</v>
      </c>
      <c r="D75" s="7"/>
      <c r="E75" s="7"/>
      <c r="F75" s="7"/>
      <c r="G75" s="7"/>
      <c r="H75" s="7"/>
      <c r="I75" s="7"/>
    </row>
    <row r="76" spans="3:17">
      <c r="C76" s="104" t="str">
        <f>"Go to "&amp;Err_Chk_14_Hdg</f>
        <v>Go to Cash Flow Statement</v>
      </c>
      <c r="D76" s="7"/>
      <c r="E76" s="7"/>
      <c r="F76" s="7"/>
      <c r="G76" s="7"/>
      <c r="H76" s="7"/>
    </row>
  </sheetData>
  <mergeCells count="1">
    <mergeCell ref="B3:F3"/>
  </mergeCells>
  <conditionalFormatting sqref="J69:Q71 I71 I73:Q73">
    <cfRule type="cellIs" dxfId="39" priority="2" stopIfTrue="1" operator="notEqual">
      <formula>0</formula>
    </cfRule>
  </conditionalFormatting>
  <conditionalFormatting sqref="C73">
    <cfRule type="expression" dxfId="38" priority="1" stopIfTrue="1">
      <formula>I73&lt;&gt;0</formula>
    </cfRule>
  </conditionalFormatting>
  <conditionalFormatting sqref="C71">
    <cfRule type="expression" dxfId="37" priority="6" stopIfTrue="1">
      <formula>I71&lt;&gt;0</formula>
    </cfRule>
  </conditionalFormatting>
  <hyperlinks>
    <hyperlink ref="C75:I75" location="HL_Sheet_Main_35" tooltip="Go to Income Statement" display="HL_Sheet_Main_35"/>
    <hyperlink ref="C76:H76" location="HL_Sheet_Main_37" tooltip="Go to Cash Flow Statement" display="HL_Sheet_Main_37"/>
    <hyperlink ref="B3" location="HL_Home" tooltip="Go to Table of Contents" display="HL_Home"/>
    <hyperlink ref="A4" location="$B$14" tooltip="Go to Top of Sheet" display="$B$14"/>
    <hyperlink ref="B4" location="HL_Sheet_Main_35" tooltip="Go to Previous Sheet" display="HL_Sheet_Main_35"/>
    <hyperlink ref="C4" location="HL_Sheet_Main_37" tooltip="Go to Next Sheet" display="HL_Sheet_Main_3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rowBreaks count="1" manualBreakCount="1">
    <brk id="45" min="1" max="16" man="1"/>
  </rowBreaks>
  <legacy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Q11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46</v>
      </c>
    </row>
    <row r="2" spans="1:17" ht="15">
      <c r="B2" s="2" t="str">
        <f>Model_Name</f>
        <v>SMA 13. Multiple Workbooks - Practical Training Exercise 1 (Alert in Ordinary Equity - Outputs)</v>
      </c>
    </row>
    <row r="3" spans="1:17">
      <c r="B3" s="230" t="s">
        <v>48</v>
      </c>
      <c r="C3" s="230"/>
      <c r="D3" s="230"/>
      <c r="E3" s="230"/>
      <c r="F3" s="230"/>
    </row>
    <row r="4" spans="1:17" ht="12.75">
      <c r="A4" s="8" t="s">
        <v>51</v>
      </c>
      <c r="B4" s="9" t="s">
        <v>53</v>
      </c>
      <c r="C4" s="10" t="s">
        <v>102</v>
      </c>
      <c r="D4" s="229" t="s">
        <v>120</v>
      </c>
      <c r="E4" s="229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256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115" t="s">
        <v>288</v>
      </c>
    </row>
    <row r="18" spans="3:17" ht="11.25">
      <c r="C18" s="90" t="s">
        <v>16</v>
      </c>
    </row>
    <row r="20" spans="3:17" hidden="1" outlineLevel="2">
      <c r="E20" s="5" t="str">
        <f>Fcast_TO!C18</f>
        <v>Revenue</v>
      </c>
      <c r="J20" s="91">
        <f>Fcast_TO!J18</f>
        <v>0</v>
      </c>
      <c r="K20" s="91">
        <f>Fcast_TO!K18</f>
        <v>0</v>
      </c>
      <c r="L20" s="91">
        <f>Fcast_TO!L18</f>
        <v>0</v>
      </c>
      <c r="M20" s="91">
        <f>Fcast_TO!M18</f>
        <v>0</v>
      </c>
      <c r="N20" s="91">
        <f>Fcast_TO!N18</f>
        <v>0</v>
      </c>
      <c r="O20" s="91">
        <f>Fcast_TO!O18</f>
        <v>0</v>
      </c>
      <c r="P20" s="91">
        <f>Fcast_TO!P18</f>
        <v>0</v>
      </c>
      <c r="Q20" s="91">
        <f>Fcast_TO!Q18</f>
        <v>0</v>
      </c>
    </row>
    <row r="21" spans="3:17" hidden="1" outlineLevel="2">
      <c r="E21" s="105" t="s">
        <v>284</v>
      </c>
      <c r="J21" s="117">
        <f>-Fcast_TO!J36</f>
        <v>21</v>
      </c>
      <c r="K21" s="117">
        <f>-Fcast_TO!K36</f>
        <v>0</v>
      </c>
      <c r="L21" s="117">
        <f>-Fcast_TO!L36</f>
        <v>0</v>
      </c>
      <c r="M21" s="117">
        <f>-Fcast_TO!M36</f>
        <v>0</v>
      </c>
      <c r="N21" s="117">
        <f>-Fcast_TO!N36</f>
        <v>0</v>
      </c>
      <c r="O21" s="117">
        <f>-Fcast_TO!O36</f>
        <v>0</v>
      </c>
      <c r="P21" s="117">
        <f>-Fcast_TO!P36</f>
        <v>0</v>
      </c>
      <c r="Q21" s="117">
        <f>-Fcast_TO!Q36</f>
        <v>0</v>
      </c>
    </row>
    <row r="22" spans="3:17" collapsed="1">
      <c r="D22" s="164" t="s">
        <v>142</v>
      </c>
      <c r="J22" s="91">
        <f>J20+J21</f>
        <v>21</v>
      </c>
      <c r="K22" s="91">
        <f t="shared" ref="K22:Q22" si="8">K20+K21</f>
        <v>0</v>
      </c>
      <c r="L22" s="91">
        <f t="shared" si="8"/>
        <v>0</v>
      </c>
      <c r="M22" s="91">
        <f t="shared" si="8"/>
        <v>0</v>
      </c>
      <c r="N22" s="91">
        <f t="shared" si="8"/>
        <v>0</v>
      </c>
      <c r="O22" s="91">
        <f t="shared" si="8"/>
        <v>0</v>
      </c>
      <c r="P22" s="91">
        <f t="shared" si="8"/>
        <v>0</v>
      </c>
      <c r="Q22" s="91">
        <f t="shared" si="8"/>
        <v>0</v>
      </c>
    </row>
    <row r="23" spans="3:17" hidden="1" outlineLevel="2">
      <c r="D23" s="5"/>
      <c r="E23" s="5" t="str">
        <f>Fcast_TO!C19</f>
        <v>Cost of Goods Sold</v>
      </c>
      <c r="J23" s="91">
        <f>-Fcast_TO!J19</f>
        <v>0</v>
      </c>
      <c r="K23" s="91">
        <f>-Fcast_TO!K19</f>
        <v>0</v>
      </c>
      <c r="L23" s="91">
        <f>-Fcast_TO!L19</f>
        <v>0</v>
      </c>
      <c r="M23" s="91">
        <f>-Fcast_TO!M19</f>
        <v>0</v>
      </c>
      <c r="N23" s="91">
        <f>-Fcast_TO!N19</f>
        <v>0</v>
      </c>
      <c r="O23" s="91">
        <f>-Fcast_TO!O19</f>
        <v>0</v>
      </c>
      <c r="P23" s="91">
        <f>-Fcast_TO!P19</f>
        <v>0</v>
      </c>
      <c r="Q23" s="91">
        <f>-Fcast_TO!Q19</f>
        <v>0</v>
      </c>
    </row>
    <row r="24" spans="3:17" s="13" customFormat="1" hidden="1" outlineLevel="2">
      <c r="D24" s="5"/>
      <c r="E24" s="5" t="str">
        <f>Fcast_TO!C20</f>
        <v>Operating Expenditure</v>
      </c>
      <c r="J24" s="91">
        <f>-Fcast_TO!J20</f>
        <v>0</v>
      </c>
      <c r="K24" s="91">
        <f>-Fcast_TO!K20</f>
        <v>0</v>
      </c>
      <c r="L24" s="91">
        <f>-Fcast_TO!L20</f>
        <v>0</v>
      </c>
      <c r="M24" s="91">
        <f>-Fcast_TO!M20</f>
        <v>0</v>
      </c>
      <c r="N24" s="91">
        <f>-Fcast_TO!N20</f>
        <v>0</v>
      </c>
      <c r="O24" s="91">
        <f>-Fcast_TO!O20</f>
        <v>0</v>
      </c>
      <c r="P24" s="91">
        <f>-Fcast_TO!P20</f>
        <v>0</v>
      </c>
      <c r="Q24" s="91">
        <f>-Fcast_TO!Q20</f>
        <v>0</v>
      </c>
    </row>
    <row r="25" spans="3:17" hidden="1" outlineLevel="2">
      <c r="D25" s="5"/>
      <c r="E25" s="105" t="s">
        <v>285</v>
      </c>
      <c r="J25" s="117">
        <f>Fcast_TO!J53</f>
        <v>-16</v>
      </c>
      <c r="K25" s="117">
        <f>Fcast_TO!K53</f>
        <v>0</v>
      </c>
      <c r="L25" s="117">
        <f>Fcast_TO!L53</f>
        <v>0</v>
      </c>
      <c r="M25" s="117">
        <f>Fcast_TO!M53</f>
        <v>0</v>
      </c>
      <c r="N25" s="117">
        <f>Fcast_TO!N53</f>
        <v>0</v>
      </c>
      <c r="O25" s="117">
        <f>Fcast_TO!O53</f>
        <v>0</v>
      </c>
      <c r="P25" s="117">
        <f>Fcast_TO!P53</f>
        <v>0</v>
      </c>
      <c r="Q25" s="117">
        <f>Fcast_TO!Q53</f>
        <v>0</v>
      </c>
    </row>
    <row r="26" spans="3:17" collapsed="1">
      <c r="D26" s="164" t="s">
        <v>147</v>
      </c>
      <c r="J26" s="91">
        <f>SUM(J23:J25)</f>
        <v>-16</v>
      </c>
      <c r="K26" s="91">
        <f t="shared" ref="K26:Q26" si="9">SUM(K23:K25)</f>
        <v>0</v>
      </c>
      <c r="L26" s="91">
        <f t="shared" si="9"/>
        <v>0</v>
      </c>
      <c r="M26" s="91">
        <f t="shared" si="9"/>
        <v>0</v>
      </c>
      <c r="N26" s="91">
        <f t="shared" si="9"/>
        <v>0</v>
      </c>
      <c r="O26" s="91">
        <f t="shared" si="9"/>
        <v>0</v>
      </c>
      <c r="P26" s="91">
        <f t="shared" si="9"/>
        <v>0</v>
      </c>
      <c r="Q26" s="91">
        <f t="shared" si="9"/>
        <v>0</v>
      </c>
    </row>
    <row r="27" spans="3:17">
      <c r="D27" s="5" t="str">
        <f>Fcast_TO!E126</f>
        <v>Interest Paid</v>
      </c>
      <c r="J27" s="91">
        <f>Fcast_TO!J126</f>
        <v>-3.25</v>
      </c>
      <c r="K27" s="91">
        <f>Fcast_TO!K126</f>
        <v>-3.25</v>
      </c>
      <c r="L27" s="91">
        <f>Fcast_TO!L126</f>
        <v>-3.25</v>
      </c>
      <c r="M27" s="91">
        <f>Fcast_TO!M126</f>
        <v>-3.25</v>
      </c>
      <c r="N27" s="91">
        <f>Fcast_TO!N126</f>
        <v>-3.4125000000000001</v>
      </c>
      <c r="O27" s="91">
        <f>Fcast_TO!O126</f>
        <v>-3.5750000000000002</v>
      </c>
      <c r="P27" s="91">
        <f>Fcast_TO!P126</f>
        <v>-3.5750000000000002</v>
      </c>
      <c r="Q27" s="91">
        <f>Fcast_TO!Q126</f>
        <v>-3.5750000000000002</v>
      </c>
    </row>
    <row r="28" spans="3:17">
      <c r="D28" s="5" t="str">
        <f>Fcast_TO!D191</f>
        <v>Tax Paid</v>
      </c>
      <c r="J28" s="91">
        <f>Fcast_TO!J191</f>
        <v>-3.5</v>
      </c>
      <c r="K28" s="91">
        <f>Fcast_TO!K191</f>
        <v>0.97499999999999998</v>
      </c>
      <c r="L28" s="91">
        <f>Fcast_TO!L191</f>
        <v>0.97499999999999998</v>
      </c>
      <c r="M28" s="91">
        <f>Fcast_TO!M191</f>
        <v>0.97499999999999998</v>
      </c>
      <c r="N28" s="91">
        <f>Fcast_TO!N191</f>
        <v>0.97499999999999998</v>
      </c>
      <c r="O28" s="91">
        <f>Fcast_TO!O191</f>
        <v>1.0237499999999999</v>
      </c>
      <c r="P28" s="91">
        <f>Fcast_TO!P191</f>
        <v>1.0725</v>
      </c>
      <c r="Q28" s="91">
        <f>Fcast_TO!Q191</f>
        <v>1.0725</v>
      </c>
    </row>
    <row r="29" spans="3:17" s="13" customFormat="1">
      <c r="D29" s="164" t="s">
        <v>359</v>
      </c>
      <c r="J29" s="91">
        <f>-Fcast_TO!J200</f>
        <v>-1</v>
      </c>
      <c r="K29" s="91">
        <f>-Fcast_TO!K200</f>
        <v>-1</v>
      </c>
      <c r="L29" s="91">
        <f>-Fcast_TO!L200</f>
        <v>-1</v>
      </c>
      <c r="M29" s="91">
        <f>-Fcast_TO!M200</f>
        <v>-1</v>
      </c>
      <c r="N29" s="91">
        <f>-Fcast_TO!N200</f>
        <v>-1</v>
      </c>
      <c r="O29" s="91">
        <f>-Fcast_TO!O200</f>
        <v>-1</v>
      </c>
      <c r="P29" s="91">
        <f>-Fcast_TO!P200</f>
        <v>-1</v>
      </c>
      <c r="Q29" s="91">
        <f>-Fcast_TO!Q200</f>
        <v>-1</v>
      </c>
    </row>
    <row r="30" spans="3:17" s="13" customFormat="1">
      <c r="D30" s="164" t="s">
        <v>360</v>
      </c>
      <c r="J30" s="91">
        <f>Fcast_TO!J206</f>
        <v>1</v>
      </c>
      <c r="K30" s="91">
        <f>Fcast_TO!K206</f>
        <v>1</v>
      </c>
      <c r="L30" s="91">
        <f>Fcast_TO!L206</f>
        <v>1</v>
      </c>
      <c r="M30" s="91">
        <f>Fcast_TO!M206</f>
        <v>1</v>
      </c>
      <c r="N30" s="91">
        <f>Fcast_TO!N206</f>
        <v>1</v>
      </c>
      <c r="O30" s="91">
        <f>Fcast_TO!O206</f>
        <v>1</v>
      </c>
      <c r="P30" s="91">
        <f>Fcast_TO!P206</f>
        <v>1</v>
      </c>
      <c r="Q30" s="91">
        <f>Fcast_TO!Q206</f>
        <v>1</v>
      </c>
    </row>
    <row r="31" spans="3:17">
      <c r="D31" s="130" t="str">
        <f>"Net "&amp;C18</f>
        <v>Net Cash Flow from Operating Activities</v>
      </c>
      <c r="J31" s="134">
        <f>J22+J26+SUM(J27:J30)</f>
        <v>-1.75</v>
      </c>
      <c r="K31" s="134">
        <f t="shared" ref="K31:Q31" si="10">K22+K26+SUM(K27:K30)</f>
        <v>-2.2749999999999999</v>
      </c>
      <c r="L31" s="134">
        <f t="shared" si="10"/>
        <v>-2.2749999999999999</v>
      </c>
      <c r="M31" s="134">
        <f t="shared" si="10"/>
        <v>-2.2749999999999999</v>
      </c>
      <c r="N31" s="134">
        <f t="shared" si="10"/>
        <v>-2.4375</v>
      </c>
      <c r="O31" s="134">
        <f t="shared" si="10"/>
        <v>-2.5512500000000005</v>
      </c>
      <c r="P31" s="134">
        <f t="shared" si="10"/>
        <v>-2.5025000000000004</v>
      </c>
      <c r="Q31" s="134">
        <f t="shared" si="10"/>
        <v>-2.5025000000000004</v>
      </c>
    </row>
    <row r="32" spans="3:17">
      <c r="J32" s="91"/>
      <c r="K32" s="91"/>
      <c r="L32" s="91"/>
      <c r="M32" s="91"/>
      <c r="N32" s="91"/>
      <c r="O32" s="91"/>
      <c r="P32" s="91"/>
      <c r="Q32" s="91"/>
    </row>
    <row r="33" spans="3:17" ht="11.25">
      <c r="C33" s="90" t="s">
        <v>17</v>
      </c>
      <c r="J33" s="91"/>
      <c r="K33" s="91"/>
      <c r="L33" s="91"/>
      <c r="M33" s="91"/>
      <c r="N33" s="91"/>
      <c r="O33" s="91"/>
      <c r="P33" s="91"/>
      <c r="Q33" s="91"/>
    </row>
    <row r="34" spans="3:17">
      <c r="J34" s="91"/>
      <c r="K34" s="91"/>
      <c r="L34" s="91"/>
      <c r="M34" s="91"/>
      <c r="N34" s="91"/>
      <c r="O34" s="91"/>
      <c r="P34" s="91"/>
      <c r="Q34" s="91"/>
    </row>
    <row r="35" spans="3:17">
      <c r="D35" s="5" t="str">
        <f>Fcast_TO!C21</f>
        <v>Capital Expenditure - Assets</v>
      </c>
      <c r="J35" s="91">
        <f>-Fcast_TO!J21</f>
        <v>0</v>
      </c>
      <c r="K35" s="91">
        <f>-Fcast_TO!K21</f>
        <v>0</v>
      </c>
      <c r="L35" s="91">
        <f>-Fcast_TO!L21</f>
        <v>0</v>
      </c>
      <c r="M35" s="91">
        <f>-Fcast_TO!M21</f>
        <v>0</v>
      </c>
      <c r="N35" s="91">
        <f>-Fcast_TO!N21</f>
        <v>0</v>
      </c>
      <c r="O35" s="91">
        <f>-Fcast_TO!O21</f>
        <v>0</v>
      </c>
      <c r="P35" s="91">
        <f>-Fcast_TO!P21</f>
        <v>0</v>
      </c>
      <c r="Q35" s="91">
        <f>-Fcast_TO!Q21</f>
        <v>0</v>
      </c>
    </row>
    <row r="36" spans="3:17">
      <c r="D36" s="5" t="str">
        <f>Fcast_TO!C22</f>
        <v>Capital Expenditure - Intangibles</v>
      </c>
      <c r="J36" s="91">
        <f>-Fcast_TO!J22</f>
        <v>0</v>
      </c>
      <c r="K36" s="91">
        <f>-Fcast_TO!K22</f>
        <v>0</v>
      </c>
      <c r="L36" s="91">
        <f>-Fcast_TO!L22</f>
        <v>0</v>
      </c>
      <c r="M36" s="91">
        <f>-Fcast_TO!M22</f>
        <v>0</v>
      </c>
      <c r="N36" s="91">
        <f>-Fcast_TO!N22</f>
        <v>0</v>
      </c>
      <c r="O36" s="91">
        <f>-Fcast_TO!O22</f>
        <v>0</v>
      </c>
      <c r="P36" s="91">
        <f>-Fcast_TO!P22</f>
        <v>0</v>
      </c>
      <c r="Q36" s="91">
        <f>-Fcast_TO!Q22</f>
        <v>0</v>
      </c>
    </row>
    <row r="37" spans="3:17" s="13" customFormat="1">
      <c r="D37" s="161" t="s">
        <v>361</v>
      </c>
      <c r="J37" s="91">
        <f>-Fcast_TO!J212</f>
        <v>-1</v>
      </c>
      <c r="K37" s="91">
        <f>-Fcast_TO!K212</f>
        <v>-1</v>
      </c>
      <c r="L37" s="91">
        <f>-Fcast_TO!L212</f>
        <v>-1</v>
      </c>
      <c r="M37" s="91">
        <f>-Fcast_TO!M212</f>
        <v>-1</v>
      </c>
      <c r="N37" s="91">
        <f>-Fcast_TO!N212</f>
        <v>-1</v>
      </c>
      <c r="O37" s="91">
        <f>-Fcast_TO!O212</f>
        <v>-1</v>
      </c>
      <c r="P37" s="91">
        <f>-Fcast_TO!P212</f>
        <v>-1</v>
      </c>
      <c r="Q37" s="91">
        <f>-Fcast_TO!Q212</f>
        <v>-1</v>
      </c>
    </row>
    <row r="38" spans="3:17" s="13" customFormat="1">
      <c r="D38" s="161" t="s">
        <v>362</v>
      </c>
      <c r="J38" s="91">
        <f>Fcast_TO!J218</f>
        <v>1</v>
      </c>
      <c r="K38" s="91">
        <f>Fcast_TO!K218</f>
        <v>1</v>
      </c>
      <c r="L38" s="91">
        <f>Fcast_TO!L218</f>
        <v>1</v>
      </c>
      <c r="M38" s="91">
        <f>Fcast_TO!M218</f>
        <v>1</v>
      </c>
      <c r="N38" s="91">
        <f>Fcast_TO!N218</f>
        <v>1</v>
      </c>
      <c r="O38" s="91">
        <f>Fcast_TO!O218</f>
        <v>1</v>
      </c>
      <c r="P38" s="91">
        <f>Fcast_TO!P218</f>
        <v>1</v>
      </c>
      <c r="Q38" s="91">
        <f>Fcast_TO!Q218</f>
        <v>1</v>
      </c>
    </row>
    <row r="39" spans="3:17">
      <c r="D39" s="130" t="str">
        <f>"Net "&amp;C33</f>
        <v>Net Cash Flow from Investing Activities</v>
      </c>
      <c r="J39" s="134">
        <f>SUM(J35:J38)</f>
        <v>0</v>
      </c>
      <c r="K39" s="134">
        <f t="shared" ref="K39:Q39" si="11">SUM(K35:K38)</f>
        <v>0</v>
      </c>
      <c r="L39" s="134">
        <f t="shared" si="11"/>
        <v>0</v>
      </c>
      <c r="M39" s="134">
        <f t="shared" si="11"/>
        <v>0</v>
      </c>
      <c r="N39" s="134">
        <f t="shared" si="11"/>
        <v>0</v>
      </c>
      <c r="O39" s="134">
        <f t="shared" si="11"/>
        <v>0</v>
      </c>
      <c r="P39" s="134">
        <f t="shared" si="11"/>
        <v>0</v>
      </c>
      <c r="Q39" s="134">
        <f t="shared" si="11"/>
        <v>0</v>
      </c>
    </row>
    <row r="40" spans="3:17">
      <c r="J40" s="91"/>
      <c r="K40" s="91"/>
      <c r="L40" s="91"/>
      <c r="M40" s="91"/>
      <c r="N40" s="91"/>
      <c r="O40" s="91"/>
      <c r="P40" s="91"/>
      <c r="Q40" s="91"/>
    </row>
    <row r="41" spans="3:17" ht="11.25">
      <c r="C41" s="90" t="s">
        <v>18</v>
      </c>
      <c r="J41" s="91"/>
      <c r="K41" s="91"/>
      <c r="L41" s="91"/>
      <c r="M41" s="91"/>
      <c r="N41" s="91"/>
      <c r="O41" s="91"/>
      <c r="P41" s="91"/>
      <c r="Q41" s="91"/>
    </row>
    <row r="42" spans="3:17">
      <c r="J42" s="91"/>
      <c r="K42" s="91"/>
      <c r="L42" s="91"/>
      <c r="M42" s="91"/>
      <c r="N42" s="91"/>
      <c r="O42" s="91"/>
      <c r="P42" s="91"/>
      <c r="Q42" s="91"/>
    </row>
    <row r="43" spans="3:17">
      <c r="D43" s="5" t="str">
        <f>Fcast_TO!E108</f>
        <v>Debt Drawdowns</v>
      </c>
      <c r="J43" s="91">
        <f>Fcast_TO!J108</f>
        <v>0</v>
      </c>
      <c r="K43" s="91">
        <f>Fcast_TO!K108</f>
        <v>0</v>
      </c>
      <c r="L43" s="91">
        <f>Fcast_TO!L108</f>
        <v>0</v>
      </c>
      <c r="M43" s="91">
        <f>Fcast_TO!M108</f>
        <v>0</v>
      </c>
      <c r="N43" s="91">
        <f>Fcast_TO!N108</f>
        <v>50</v>
      </c>
      <c r="O43" s="91">
        <f>Fcast_TO!O108</f>
        <v>0</v>
      </c>
      <c r="P43" s="91">
        <f>Fcast_TO!P108</f>
        <v>0</v>
      </c>
      <c r="Q43" s="91">
        <f>Fcast_TO!Q108</f>
        <v>0</v>
      </c>
    </row>
    <row r="44" spans="3:17">
      <c r="D44" s="5" t="str">
        <f>Fcast_TO!E109</f>
        <v>Debt Repayments</v>
      </c>
      <c r="J44" s="91">
        <f>Fcast_TO!J109</f>
        <v>0</v>
      </c>
      <c r="K44" s="91">
        <f>Fcast_TO!K109</f>
        <v>0</v>
      </c>
      <c r="L44" s="91">
        <f>Fcast_TO!L109</f>
        <v>0</v>
      </c>
      <c r="M44" s="91">
        <f>Fcast_TO!M109</f>
        <v>0</v>
      </c>
      <c r="N44" s="91">
        <f>Fcast_TO!N109</f>
        <v>-45</v>
      </c>
      <c r="O44" s="91">
        <f>Fcast_TO!O109</f>
        <v>0</v>
      </c>
      <c r="P44" s="91">
        <f>Fcast_TO!P109</f>
        <v>0</v>
      </c>
      <c r="Q44" s="91">
        <f>Fcast_TO!Q109</f>
        <v>0</v>
      </c>
    </row>
    <row r="45" spans="3:17">
      <c r="D45" s="5" t="str">
        <f>Fcast_TO!E134</f>
        <v>Equity Raisings</v>
      </c>
      <c r="J45" s="91">
        <f>Fcast_TO!J134</f>
        <v>0</v>
      </c>
      <c r="K45" s="91">
        <f>Fcast_TO!K134</f>
        <v>0</v>
      </c>
      <c r="L45" s="91">
        <f>Fcast_TO!L134</f>
        <v>0</v>
      </c>
      <c r="M45" s="91">
        <f>Fcast_TO!M134</f>
        <v>0</v>
      </c>
      <c r="N45" s="91">
        <f>Fcast_TO!N134</f>
        <v>0</v>
      </c>
      <c r="O45" s="91">
        <f>Fcast_TO!O134</f>
        <v>0</v>
      </c>
      <c r="P45" s="91">
        <f>Fcast_TO!P134</f>
        <v>0</v>
      </c>
      <c r="Q45" s="91">
        <f>Fcast_TO!Q134</f>
        <v>0</v>
      </c>
    </row>
    <row r="46" spans="3:17">
      <c r="D46" s="5" t="str">
        <f>Fcast_TO!E135</f>
        <v>Equity Repayments</v>
      </c>
      <c r="J46" s="91">
        <f>Fcast_TO!J135</f>
        <v>0</v>
      </c>
      <c r="K46" s="91">
        <f>Fcast_TO!K135</f>
        <v>0</v>
      </c>
      <c r="L46" s="91">
        <f>Fcast_TO!L135</f>
        <v>0</v>
      </c>
      <c r="M46" s="91">
        <f>Fcast_TO!M135</f>
        <v>0</v>
      </c>
      <c r="N46" s="91">
        <f>Fcast_TO!N135</f>
        <v>0</v>
      </c>
      <c r="O46" s="91">
        <f>Fcast_TO!O135</f>
        <v>0</v>
      </c>
      <c r="P46" s="91">
        <f>Fcast_TO!P135</f>
        <v>0</v>
      </c>
      <c r="Q46" s="91">
        <f>Fcast_TO!Q135</f>
        <v>0</v>
      </c>
    </row>
    <row r="47" spans="3:17">
      <c r="D47" s="5" t="str">
        <f>Fcast_TO!E142</f>
        <v>Dividends Paid During Period</v>
      </c>
      <c r="J47" s="91">
        <f>Fcast_TO!J142</f>
        <v>0</v>
      </c>
      <c r="K47" s="91">
        <f>Fcast_TO!K142</f>
        <v>0</v>
      </c>
      <c r="L47" s="91">
        <f>Fcast_TO!L142</f>
        <v>0</v>
      </c>
      <c r="M47" s="91">
        <f>Fcast_TO!M142</f>
        <v>0</v>
      </c>
      <c r="N47" s="91">
        <f>Fcast_TO!N142</f>
        <v>0</v>
      </c>
      <c r="O47" s="91">
        <f>Fcast_TO!O142</f>
        <v>0</v>
      </c>
      <c r="P47" s="91">
        <f>Fcast_TO!P142</f>
        <v>0</v>
      </c>
      <c r="Q47" s="91">
        <f>Fcast_TO!Q142</f>
        <v>0</v>
      </c>
    </row>
    <row r="48" spans="3:17">
      <c r="D48" s="130" t="str">
        <f>"Net "&amp;C41</f>
        <v>Net Cash Flow from Financing Activities</v>
      </c>
      <c r="J48" s="134">
        <f>SUM(J43:J47)</f>
        <v>0</v>
      </c>
      <c r="K48" s="134">
        <f t="shared" ref="K48:Q48" si="12">SUM(K43:K47)</f>
        <v>0</v>
      </c>
      <c r="L48" s="134">
        <f t="shared" si="12"/>
        <v>0</v>
      </c>
      <c r="M48" s="134">
        <f t="shared" si="12"/>
        <v>0</v>
      </c>
      <c r="N48" s="134">
        <f t="shared" si="12"/>
        <v>5</v>
      </c>
      <c r="O48" s="134">
        <f t="shared" si="12"/>
        <v>0</v>
      </c>
      <c r="P48" s="134">
        <f t="shared" si="12"/>
        <v>0</v>
      </c>
      <c r="Q48" s="134">
        <f t="shared" si="12"/>
        <v>0</v>
      </c>
    </row>
    <row r="49" spans="2:17">
      <c r="J49" s="91"/>
      <c r="K49" s="91"/>
      <c r="L49" s="91"/>
      <c r="M49" s="91"/>
      <c r="N49" s="91"/>
      <c r="O49" s="91"/>
      <c r="P49" s="91"/>
      <c r="Q49" s="91"/>
    </row>
    <row r="50" spans="2:17" ht="12" thickBot="1">
      <c r="C50" s="90" t="s">
        <v>19</v>
      </c>
      <c r="J50" s="133">
        <f t="shared" ref="J50:Q50" si="13">J31+J39+J48</f>
        <v>-1.75</v>
      </c>
      <c r="K50" s="133">
        <f t="shared" si="13"/>
        <v>-2.2749999999999999</v>
      </c>
      <c r="L50" s="133">
        <f t="shared" si="13"/>
        <v>-2.2749999999999999</v>
      </c>
      <c r="M50" s="133">
        <f t="shared" si="13"/>
        <v>-2.2749999999999999</v>
      </c>
      <c r="N50" s="133">
        <f t="shared" si="13"/>
        <v>2.5625</v>
      </c>
      <c r="O50" s="133">
        <f t="shared" si="13"/>
        <v>-2.5512500000000005</v>
      </c>
      <c r="P50" s="133">
        <f t="shared" si="13"/>
        <v>-2.5025000000000004</v>
      </c>
      <c r="Q50" s="133">
        <f t="shared" si="13"/>
        <v>-2.5025000000000004</v>
      </c>
    </row>
    <row r="51" spans="2:17" ht="11.25" thickTop="1"/>
    <row r="53" spans="2:17" ht="12.75">
      <c r="B53" s="115" t="s">
        <v>289</v>
      </c>
    </row>
    <row r="55" spans="2:17" ht="11.25">
      <c r="C55" s="116" t="str">
        <f>C18</f>
        <v>Cash Flow from Operating Activities</v>
      </c>
    </row>
    <row r="57" spans="2:17">
      <c r="D57" s="105" t="s">
        <v>14</v>
      </c>
      <c r="J57" s="91">
        <f>IS_TO!J39</f>
        <v>-2.2749999999999999</v>
      </c>
      <c r="K57" s="91">
        <f>IS_TO!K39</f>
        <v>-2.2749999999999999</v>
      </c>
      <c r="L57" s="91">
        <f>IS_TO!L39</f>
        <v>-2.2749999999999999</v>
      </c>
      <c r="M57" s="91">
        <f>IS_TO!M39</f>
        <v>-2.2749999999999999</v>
      </c>
      <c r="N57" s="91">
        <f>IS_TO!N39</f>
        <v>-2.3887499999999999</v>
      </c>
      <c r="O57" s="91">
        <f>IS_TO!O39</f>
        <v>-2.5025000000000004</v>
      </c>
      <c r="P57" s="91">
        <f>IS_TO!P39</f>
        <v>-2.5025000000000004</v>
      </c>
      <c r="Q57" s="91">
        <f>IS_TO!Q39</f>
        <v>-2.5025000000000004</v>
      </c>
    </row>
    <row r="58" spans="2:17">
      <c r="D58" s="105" t="s">
        <v>20</v>
      </c>
      <c r="J58" s="91">
        <f>-IS_TO!J37</f>
        <v>-0.97499999999999998</v>
      </c>
      <c r="K58" s="91">
        <f>-IS_TO!K37</f>
        <v>-0.97499999999999998</v>
      </c>
      <c r="L58" s="91">
        <f>-IS_TO!L37</f>
        <v>-0.97499999999999998</v>
      </c>
      <c r="M58" s="91">
        <f>-IS_TO!M37</f>
        <v>-0.97499999999999998</v>
      </c>
      <c r="N58" s="91">
        <f>-IS_TO!N37</f>
        <v>-1.0237499999999999</v>
      </c>
      <c r="O58" s="91">
        <f>-IS_TO!O37</f>
        <v>-1.0725</v>
      </c>
      <c r="P58" s="91">
        <f>-IS_TO!P37</f>
        <v>-1.0725</v>
      </c>
      <c r="Q58" s="91">
        <f>-IS_TO!Q37</f>
        <v>-1.0725</v>
      </c>
    </row>
    <row r="59" spans="2:17">
      <c r="D59" s="105" t="s">
        <v>21</v>
      </c>
      <c r="J59" s="91">
        <f>-IS_TO!J33</f>
        <v>3.25</v>
      </c>
      <c r="K59" s="91">
        <f>-IS_TO!K33</f>
        <v>3.25</v>
      </c>
      <c r="L59" s="91">
        <f>-IS_TO!L33</f>
        <v>3.25</v>
      </c>
      <c r="M59" s="91">
        <f>-IS_TO!M33</f>
        <v>3.25</v>
      </c>
      <c r="N59" s="91">
        <f>-IS_TO!N33</f>
        <v>3.4125000000000001</v>
      </c>
      <c r="O59" s="91">
        <f>-IS_TO!O33</f>
        <v>3.5750000000000002</v>
      </c>
      <c r="P59" s="91">
        <f>-IS_TO!P33</f>
        <v>3.5750000000000002</v>
      </c>
      <c r="Q59" s="91">
        <f>-IS_TO!Q33</f>
        <v>3.5750000000000002</v>
      </c>
    </row>
    <row r="60" spans="2:17">
      <c r="D60" s="105" t="s">
        <v>22</v>
      </c>
      <c r="J60" s="91">
        <f>-IS_TO!J29</f>
        <v>0</v>
      </c>
      <c r="K60" s="91">
        <f>-IS_TO!K29</f>
        <v>0</v>
      </c>
      <c r="L60" s="91">
        <f>-IS_TO!L29</f>
        <v>0</v>
      </c>
      <c r="M60" s="91">
        <f>-IS_TO!M29</f>
        <v>0</v>
      </c>
      <c r="N60" s="91">
        <f>-IS_TO!N29</f>
        <v>0</v>
      </c>
      <c r="O60" s="91">
        <f>-IS_TO!O29</f>
        <v>0</v>
      </c>
      <c r="P60" s="91">
        <f>-IS_TO!P29</f>
        <v>0</v>
      </c>
      <c r="Q60" s="91">
        <f>-IS_TO!Q29</f>
        <v>0</v>
      </c>
    </row>
    <row r="61" spans="2:17">
      <c r="D61" s="5" t="str">
        <f>E21</f>
        <v>Decrease in Accounts Receivable</v>
      </c>
      <c r="J61" s="91">
        <f t="shared" ref="J61:Q61" si="14">J21</f>
        <v>21</v>
      </c>
      <c r="K61" s="91">
        <f t="shared" si="14"/>
        <v>0</v>
      </c>
      <c r="L61" s="91">
        <f t="shared" si="14"/>
        <v>0</v>
      </c>
      <c r="M61" s="91">
        <f t="shared" si="14"/>
        <v>0</v>
      </c>
      <c r="N61" s="91">
        <f t="shared" si="14"/>
        <v>0</v>
      </c>
      <c r="O61" s="91">
        <f t="shared" si="14"/>
        <v>0</v>
      </c>
      <c r="P61" s="91">
        <f t="shared" si="14"/>
        <v>0</v>
      </c>
      <c r="Q61" s="91">
        <f t="shared" si="14"/>
        <v>0</v>
      </c>
    </row>
    <row r="62" spans="2:17">
      <c r="D62" s="5" t="str">
        <f>E25</f>
        <v>Increase in Accounts Payable</v>
      </c>
      <c r="J62" s="91">
        <f t="shared" ref="J62:Q62" si="15">J25</f>
        <v>-16</v>
      </c>
      <c r="K62" s="91">
        <f t="shared" si="15"/>
        <v>0</v>
      </c>
      <c r="L62" s="91">
        <f t="shared" si="15"/>
        <v>0</v>
      </c>
      <c r="M62" s="91">
        <f t="shared" si="15"/>
        <v>0</v>
      </c>
      <c r="N62" s="91">
        <f t="shared" si="15"/>
        <v>0</v>
      </c>
      <c r="O62" s="91">
        <f t="shared" si="15"/>
        <v>0</v>
      </c>
      <c r="P62" s="91">
        <f t="shared" si="15"/>
        <v>0</v>
      </c>
      <c r="Q62" s="91">
        <f t="shared" si="15"/>
        <v>0</v>
      </c>
    </row>
    <row r="63" spans="2:17">
      <c r="D63" s="5" t="str">
        <f>D27</f>
        <v>Interest Paid</v>
      </c>
      <c r="J63" s="91">
        <f t="shared" ref="J63:Q63" si="16">J27</f>
        <v>-3.25</v>
      </c>
      <c r="K63" s="91">
        <f t="shared" si="16"/>
        <v>-3.25</v>
      </c>
      <c r="L63" s="91">
        <f t="shared" si="16"/>
        <v>-3.25</v>
      </c>
      <c r="M63" s="91">
        <f t="shared" si="16"/>
        <v>-3.25</v>
      </c>
      <c r="N63" s="91">
        <f t="shared" si="16"/>
        <v>-3.4125000000000001</v>
      </c>
      <c r="O63" s="91">
        <f t="shared" si="16"/>
        <v>-3.5750000000000002</v>
      </c>
      <c r="P63" s="91">
        <f t="shared" si="16"/>
        <v>-3.5750000000000002</v>
      </c>
      <c r="Q63" s="91">
        <f t="shared" si="16"/>
        <v>-3.5750000000000002</v>
      </c>
    </row>
    <row r="64" spans="2:17">
      <c r="D64" s="5" t="str">
        <f>D28</f>
        <v>Tax Paid</v>
      </c>
      <c r="J64" s="91">
        <f t="shared" ref="J64:Q64" si="17">J28</f>
        <v>-3.5</v>
      </c>
      <c r="K64" s="91">
        <f t="shared" si="17"/>
        <v>0.97499999999999998</v>
      </c>
      <c r="L64" s="91">
        <f t="shared" si="17"/>
        <v>0.97499999999999998</v>
      </c>
      <c r="M64" s="91">
        <f t="shared" si="17"/>
        <v>0.97499999999999998</v>
      </c>
      <c r="N64" s="91">
        <f t="shared" si="17"/>
        <v>0.97499999999999998</v>
      </c>
      <c r="O64" s="91">
        <f t="shared" si="17"/>
        <v>1.0237499999999999</v>
      </c>
      <c r="P64" s="91">
        <f t="shared" si="17"/>
        <v>1.0725</v>
      </c>
      <c r="Q64" s="91">
        <f t="shared" si="17"/>
        <v>1.0725</v>
      </c>
    </row>
    <row r="65" spans="3:17" s="13" customFormat="1">
      <c r="D65" s="5" t="str">
        <f t="shared" ref="D65:D66" si="18">D29</f>
        <v>Decrease in Other Current Assets</v>
      </c>
      <c r="J65" s="91">
        <f t="shared" ref="J65:Q65" si="19">J29</f>
        <v>-1</v>
      </c>
      <c r="K65" s="91">
        <f t="shared" si="19"/>
        <v>-1</v>
      </c>
      <c r="L65" s="91">
        <f t="shared" si="19"/>
        <v>-1</v>
      </c>
      <c r="M65" s="91">
        <f t="shared" si="19"/>
        <v>-1</v>
      </c>
      <c r="N65" s="91">
        <f t="shared" si="19"/>
        <v>-1</v>
      </c>
      <c r="O65" s="91">
        <f t="shared" si="19"/>
        <v>-1</v>
      </c>
      <c r="P65" s="91">
        <f t="shared" si="19"/>
        <v>-1</v>
      </c>
      <c r="Q65" s="91">
        <f t="shared" si="19"/>
        <v>-1</v>
      </c>
    </row>
    <row r="66" spans="3:17" s="13" customFormat="1">
      <c r="D66" s="5" t="str">
        <f t="shared" si="18"/>
        <v>Increase in Other Current Liabilities</v>
      </c>
      <c r="J66" s="91">
        <f t="shared" ref="J66:Q66" si="20">J30</f>
        <v>1</v>
      </c>
      <c r="K66" s="91">
        <f t="shared" si="20"/>
        <v>1</v>
      </c>
      <c r="L66" s="91">
        <f t="shared" si="20"/>
        <v>1</v>
      </c>
      <c r="M66" s="91">
        <f t="shared" si="20"/>
        <v>1</v>
      </c>
      <c r="N66" s="91">
        <f t="shared" si="20"/>
        <v>1</v>
      </c>
      <c r="O66" s="91">
        <f t="shared" si="20"/>
        <v>1</v>
      </c>
      <c r="P66" s="91">
        <f t="shared" si="20"/>
        <v>1</v>
      </c>
      <c r="Q66" s="91">
        <f t="shared" si="20"/>
        <v>1</v>
      </c>
    </row>
    <row r="67" spans="3:17">
      <c r="D67" s="4" t="str">
        <f>D31</f>
        <v>Net Cash Flow from Operating Activities</v>
      </c>
      <c r="J67" s="134">
        <f>SUM(J57:J66)</f>
        <v>-1.75</v>
      </c>
      <c r="K67" s="134">
        <f t="shared" ref="K67:Q67" si="21">SUM(K57:K66)</f>
        <v>-2.2749999999999999</v>
      </c>
      <c r="L67" s="134">
        <f t="shared" si="21"/>
        <v>-2.2749999999999999</v>
      </c>
      <c r="M67" s="134">
        <f t="shared" si="21"/>
        <v>-2.2749999999999999</v>
      </c>
      <c r="N67" s="134">
        <f t="shared" si="21"/>
        <v>-2.4374999999999996</v>
      </c>
      <c r="O67" s="134">
        <f t="shared" si="21"/>
        <v>-2.5512500000000005</v>
      </c>
      <c r="P67" s="134">
        <f t="shared" si="21"/>
        <v>-2.5025000000000004</v>
      </c>
      <c r="Q67" s="134">
        <f t="shared" si="21"/>
        <v>-2.5025000000000004</v>
      </c>
    </row>
    <row r="69" spans="3:17" ht="11.25">
      <c r="C69" s="116" t="str">
        <f>C33</f>
        <v>Cash Flow from Investing Activities</v>
      </c>
    </row>
    <row r="71" spans="3:17">
      <c r="D71" s="5" t="str">
        <f>D35</f>
        <v>Capital Expenditure - Assets</v>
      </c>
      <c r="J71" s="91">
        <f t="shared" ref="J71:Q72" si="22">J35</f>
        <v>0</v>
      </c>
      <c r="K71" s="91">
        <f t="shared" si="22"/>
        <v>0</v>
      </c>
      <c r="L71" s="91">
        <f t="shared" si="22"/>
        <v>0</v>
      </c>
      <c r="M71" s="91">
        <f t="shared" si="22"/>
        <v>0</v>
      </c>
      <c r="N71" s="91">
        <f t="shared" si="22"/>
        <v>0</v>
      </c>
      <c r="O71" s="91">
        <f t="shared" si="22"/>
        <v>0</v>
      </c>
      <c r="P71" s="91">
        <f t="shared" si="22"/>
        <v>0</v>
      </c>
      <c r="Q71" s="91">
        <f t="shared" si="22"/>
        <v>0</v>
      </c>
    </row>
    <row r="72" spans="3:17" s="13" customFormat="1">
      <c r="D72" s="5" t="str">
        <f>D36</f>
        <v>Capital Expenditure - Intangibles</v>
      </c>
      <c r="J72" s="91">
        <f t="shared" si="22"/>
        <v>0</v>
      </c>
      <c r="K72" s="91">
        <f t="shared" si="22"/>
        <v>0</v>
      </c>
      <c r="L72" s="91">
        <f t="shared" si="22"/>
        <v>0</v>
      </c>
      <c r="M72" s="91">
        <f t="shared" si="22"/>
        <v>0</v>
      </c>
      <c r="N72" s="91">
        <f t="shared" si="22"/>
        <v>0</v>
      </c>
      <c r="O72" s="91">
        <f t="shared" si="22"/>
        <v>0</v>
      </c>
      <c r="P72" s="91">
        <f t="shared" si="22"/>
        <v>0</v>
      </c>
      <c r="Q72" s="91">
        <f t="shared" si="22"/>
        <v>0</v>
      </c>
    </row>
    <row r="73" spans="3:17" s="13" customFormat="1">
      <c r="D73" s="5" t="str">
        <f t="shared" ref="D73:D74" si="23">D37</f>
        <v>Decrease in Other Non-Current Assets</v>
      </c>
      <c r="J73" s="91">
        <f t="shared" ref="J73:Q73" si="24">J37</f>
        <v>-1</v>
      </c>
      <c r="K73" s="91">
        <f t="shared" si="24"/>
        <v>-1</v>
      </c>
      <c r="L73" s="91">
        <f t="shared" si="24"/>
        <v>-1</v>
      </c>
      <c r="M73" s="91">
        <f t="shared" si="24"/>
        <v>-1</v>
      </c>
      <c r="N73" s="91">
        <f t="shared" si="24"/>
        <v>-1</v>
      </c>
      <c r="O73" s="91">
        <f t="shared" si="24"/>
        <v>-1</v>
      </c>
      <c r="P73" s="91">
        <f t="shared" si="24"/>
        <v>-1</v>
      </c>
      <c r="Q73" s="91">
        <f t="shared" si="24"/>
        <v>-1</v>
      </c>
    </row>
    <row r="74" spans="3:17" s="13" customFormat="1">
      <c r="D74" s="5" t="str">
        <f t="shared" si="23"/>
        <v>Increase in Other Non-Current Liabilities</v>
      </c>
      <c r="J74" s="91">
        <f t="shared" ref="J74:Q74" si="25">J38</f>
        <v>1</v>
      </c>
      <c r="K74" s="91">
        <f t="shared" si="25"/>
        <v>1</v>
      </c>
      <c r="L74" s="91">
        <f t="shared" si="25"/>
        <v>1</v>
      </c>
      <c r="M74" s="91">
        <f t="shared" si="25"/>
        <v>1</v>
      </c>
      <c r="N74" s="91">
        <f t="shared" si="25"/>
        <v>1</v>
      </c>
      <c r="O74" s="91">
        <f t="shared" si="25"/>
        <v>1</v>
      </c>
      <c r="P74" s="91">
        <f t="shared" si="25"/>
        <v>1</v>
      </c>
      <c r="Q74" s="91">
        <f t="shared" si="25"/>
        <v>1</v>
      </c>
    </row>
    <row r="75" spans="3:17">
      <c r="D75" s="4" t="str">
        <f>D39</f>
        <v>Net Cash Flow from Investing Activities</v>
      </c>
      <c r="J75" s="134">
        <f>SUM(J71:J74)</f>
        <v>0</v>
      </c>
      <c r="K75" s="134">
        <f t="shared" ref="K75:Q75" si="26">SUM(K71:K74)</f>
        <v>0</v>
      </c>
      <c r="L75" s="134">
        <f t="shared" si="26"/>
        <v>0</v>
      </c>
      <c r="M75" s="134">
        <f t="shared" si="26"/>
        <v>0</v>
      </c>
      <c r="N75" s="134">
        <f t="shared" si="26"/>
        <v>0</v>
      </c>
      <c r="O75" s="134">
        <f t="shared" si="26"/>
        <v>0</v>
      </c>
      <c r="P75" s="134">
        <f t="shared" si="26"/>
        <v>0</v>
      </c>
      <c r="Q75" s="134">
        <f t="shared" si="26"/>
        <v>0</v>
      </c>
    </row>
    <row r="77" spans="3:17" ht="11.25">
      <c r="C77" s="116" t="str">
        <f>C41</f>
        <v>Cash Flow from Financing Activities</v>
      </c>
    </row>
    <row r="79" spans="3:17">
      <c r="D79" s="5" t="str">
        <f>D43</f>
        <v>Debt Drawdowns</v>
      </c>
      <c r="J79" s="91">
        <f>J43</f>
        <v>0</v>
      </c>
      <c r="K79" s="91">
        <f t="shared" ref="K79:Q79" si="27">K43</f>
        <v>0</v>
      </c>
      <c r="L79" s="91">
        <f t="shared" si="27"/>
        <v>0</v>
      </c>
      <c r="M79" s="91">
        <f t="shared" si="27"/>
        <v>0</v>
      </c>
      <c r="N79" s="91">
        <f t="shared" si="27"/>
        <v>50</v>
      </c>
      <c r="O79" s="91">
        <f t="shared" si="27"/>
        <v>0</v>
      </c>
      <c r="P79" s="91">
        <f t="shared" si="27"/>
        <v>0</v>
      </c>
      <c r="Q79" s="91">
        <f t="shared" si="27"/>
        <v>0</v>
      </c>
    </row>
    <row r="80" spans="3:17">
      <c r="D80" s="5" t="str">
        <f t="shared" ref="D80:D83" si="28">D44</f>
        <v>Debt Repayments</v>
      </c>
      <c r="J80" s="91">
        <f t="shared" ref="J80:Q83" si="29">J44</f>
        <v>0</v>
      </c>
      <c r="K80" s="91">
        <f t="shared" si="29"/>
        <v>0</v>
      </c>
      <c r="L80" s="91">
        <f t="shared" si="29"/>
        <v>0</v>
      </c>
      <c r="M80" s="91">
        <f t="shared" si="29"/>
        <v>0</v>
      </c>
      <c r="N80" s="91">
        <f t="shared" si="29"/>
        <v>-45</v>
      </c>
      <c r="O80" s="91">
        <f t="shared" si="29"/>
        <v>0</v>
      </c>
      <c r="P80" s="91">
        <f t="shared" si="29"/>
        <v>0</v>
      </c>
      <c r="Q80" s="91">
        <f t="shared" si="29"/>
        <v>0</v>
      </c>
    </row>
    <row r="81" spans="2:17">
      <c r="D81" s="5" t="str">
        <f t="shared" si="28"/>
        <v>Equity Raisings</v>
      </c>
      <c r="J81" s="91">
        <f t="shared" si="29"/>
        <v>0</v>
      </c>
      <c r="K81" s="91">
        <f t="shared" si="29"/>
        <v>0</v>
      </c>
      <c r="L81" s="91">
        <f t="shared" si="29"/>
        <v>0</v>
      </c>
      <c r="M81" s="91">
        <f t="shared" si="29"/>
        <v>0</v>
      </c>
      <c r="N81" s="91">
        <f t="shared" si="29"/>
        <v>0</v>
      </c>
      <c r="O81" s="91">
        <f t="shared" si="29"/>
        <v>0</v>
      </c>
      <c r="P81" s="91">
        <f t="shared" si="29"/>
        <v>0</v>
      </c>
      <c r="Q81" s="91">
        <f t="shared" si="29"/>
        <v>0</v>
      </c>
    </row>
    <row r="82" spans="2:17">
      <c r="D82" s="5" t="str">
        <f t="shared" si="28"/>
        <v>Equity Repayments</v>
      </c>
      <c r="J82" s="91">
        <f t="shared" si="29"/>
        <v>0</v>
      </c>
      <c r="K82" s="91">
        <f t="shared" si="29"/>
        <v>0</v>
      </c>
      <c r="L82" s="91">
        <f t="shared" si="29"/>
        <v>0</v>
      </c>
      <c r="M82" s="91">
        <f t="shared" si="29"/>
        <v>0</v>
      </c>
      <c r="N82" s="91">
        <f t="shared" si="29"/>
        <v>0</v>
      </c>
      <c r="O82" s="91">
        <f t="shared" si="29"/>
        <v>0</v>
      </c>
      <c r="P82" s="91">
        <f t="shared" si="29"/>
        <v>0</v>
      </c>
      <c r="Q82" s="91">
        <f t="shared" si="29"/>
        <v>0</v>
      </c>
    </row>
    <row r="83" spans="2:17">
      <c r="D83" s="5" t="str">
        <f t="shared" si="28"/>
        <v>Dividends Paid During Period</v>
      </c>
      <c r="J83" s="91">
        <f t="shared" si="29"/>
        <v>0</v>
      </c>
      <c r="K83" s="91">
        <f t="shared" si="29"/>
        <v>0</v>
      </c>
      <c r="L83" s="91">
        <f t="shared" si="29"/>
        <v>0</v>
      </c>
      <c r="M83" s="91">
        <f t="shared" si="29"/>
        <v>0</v>
      </c>
      <c r="N83" s="91">
        <f t="shared" si="29"/>
        <v>0</v>
      </c>
      <c r="O83" s="91">
        <f t="shared" si="29"/>
        <v>0</v>
      </c>
      <c r="P83" s="91">
        <f t="shared" si="29"/>
        <v>0</v>
      </c>
      <c r="Q83" s="91">
        <f t="shared" si="29"/>
        <v>0</v>
      </c>
    </row>
    <row r="84" spans="2:17">
      <c r="D84" s="4" t="str">
        <f>D48</f>
        <v>Net Cash Flow from Financing Activities</v>
      </c>
      <c r="J84" s="134">
        <f t="shared" ref="J84:Q84" si="30">SUM(J77:J83)</f>
        <v>0</v>
      </c>
      <c r="K84" s="134">
        <f t="shared" si="30"/>
        <v>0</v>
      </c>
      <c r="L84" s="134">
        <f t="shared" si="30"/>
        <v>0</v>
      </c>
      <c r="M84" s="134">
        <f t="shared" si="30"/>
        <v>0</v>
      </c>
      <c r="N84" s="134">
        <f t="shared" si="30"/>
        <v>5</v>
      </c>
      <c r="O84" s="134">
        <f t="shared" si="30"/>
        <v>0</v>
      </c>
      <c r="P84" s="134">
        <f t="shared" si="30"/>
        <v>0</v>
      </c>
      <c r="Q84" s="134">
        <f t="shared" si="30"/>
        <v>0</v>
      </c>
    </row>
    <row r="86" spans="2:17" ht="12" thickBot="1">
      <c r="C86" s="116" t="str">
        <f>C50</f>
        <v>Net Increase / (Decrease) in Cash Held</v>
      </c>
      <c r="J86" s="133">
        <f t="shared" ref="J86:Q86" si="31">J67+J75+J84</f>
        <v>-1.75</v>
      </c>
      <c r="K86" s="133">
        <f t="shared" si="31"/>
        <v>-2.2749999999999999</v>
      </c>
      <c r="L86" s="133">
        <f t="shared" si="31"/>
        <v>-2.2749999999999999</v>
      </c>
      <c r="M86" s="133">
        <f t="shared" si="31"/>
        <v>-2.2749999999999999</v>
      </c>
      <c r="N86" s="133">
        <f t="shared" si="31"/>
        <v>2.5625000000000004</v>
      </c>
      <c r="O86" s="133">
        <f t="shared" si="31"/>
        <v>-2.5512500000000005</v>
      </c>
      <c r="P86" s="133">
        <f t="shared" si="31"/>
        <v>-2.5025000000000004</v>
      </c>
      <c r="Q86" s="133">
        <f t="shared" si="31"/>
        <v>-2.5025000000000004</v>
      </c>
    </row>
    <row r="87" spans="2:17" ht="11.25" thickTop="1"/>
    <row r="89" spans="2:17" ht="12.75">
      <c r="B89" s="115" t="s">
        <v>290</v>
      </c>
    </row>
    <row r="91" spans="2:17">
      <c r="D91" s="5" t="str">
        <f>$D$31</f>
        <v>Net Cash Flow from Operating Activities</v>
      </c>
      <c r="J91" s="91">
        <f t="shared" ref="J91:Q91" si="32">J$31</f>
        <v>-1.75</v>
      </c>
      <c r="K91" s="91">
        <f t="shared" si="32"/>
        <v>-2.2749999999999999</v>
      </c>
      <c r="L91" s="91">
        <f t="shared" si="32"/>
        <v>-2.2749999999999999</v>
      </c>
      <c r="M91" s="91">
        <f t="shared" si="32"/>
        <v>-2.2749999999999999</v>
      </c>
      <c r="N91" s="91">
        <f t="shared" si="32"/>
        <v>-2.4375</v>
      </c>
      <c r="O91" s="91">
        <f t="shared" si="32"/>
        <v>-2.5512500000000005</v>
      </c>
      <c r="P91" s="91">
        <f t="shared" si="32"/>
        <v>-2.5025000000000004</v>
      </c>
      <c r="Q91" s="91">
        <f t="shared" si="32"/>
        <v>-2.5025000000000004</v>
      </c>
    </row>
    <row r="92" spans="2:17">
      <c r="D92" s="5" t="str">
        <f>$D$39</f>
        <v>Net Cash Flow from Investing Activities</v>
      </c>
      <c r="J92" s="91">
        <f t="shared" ref="J92:Q92" si="33">J$39</f>
        <v>0</v>
      </c>
      <c r="K92" s="91">
        <f t="shared" si="33"/>
        <v>0</v>
      </c>
      <c r="L92" s="91">
        <f t="shared" si="33"/>
        <v>0</v>
      </c>
      <c r="M92" s="91">
        <f t="shared" si="33"/>
        <v>0</v>
      </c>
      <c r="N92" s="91">
        <f t="shared" si="33"/>
        <v>0</v>
      </c>
      <c r="O92" s="91">
        <f t="shared" si="33"/>
        <v>0</v>
      </c>
      <c r="P92" s="91">
        <f t="shared" si="33"/>
        <v>0</v>
      </c>
      <c r="Q92" s="91">
        <f t="shared" si="33"/>
        <v>0</v>
      </c>
    </row>
    <row r="93" spans="2:17">
      <c r="D93" s="113" t="str">
        <f>"(Add Back) "&amp;$D$27</f>
        <v>(Add Back) Interest Paid</v>
      </c>
      <c r="J93" s="93">
        <f t="shared" ref="J93:Q93" si="34">-J$27</f>
        <v>3.25</v>
      </c>
      <c r="K93" s="93">
        <f t="shared" si="34"/>
        <v>3.25</v>
      </c>
      <c r="L93" s="93">
        <f t="shared" si="34"/>
        <v>3.25</v>
      </c>
      <c r="M93" s="93">
        <f t="shared" si="34"/>
        <v>3.25</v>
      </c>
      <c r="N93" s="93">
        <f t="shared" si="34"/>
        <v>3.4125000000000001</v>
      </c>
      <c r="O93" s="93">
        <f t="shared" si="34"/>
        <v>3.5750000000000002</v>
      </c>
      <c r="P93" s="93">
        <f t="shared" si="34"/>
        <v>3.5750000000000002</v>
      </c>
      <c r="Q93" s="93">
        <f t="shared" si="34"/>
        <v>3.5750000000000002</v>
      </c>
    </row>
    <row r="94" spans="2:17">
      <c r="D94" s="106" t="s">
        <v>23</v>
      </c>
      <c r="J94" s="94">
        <f t="shared" ref="J94:Q94" si="35">SUM(J91:J93)</f>
        <v>1.5</v>
      </c>
      <c r="K94" s="94">
        <f t="shared" si="35"/>
        <v>0.97500000000000009</v>
      </c>
      <c r="L94" s="94">
        <f t="shared" si="35"/>
        <v>0.97500000000000009</v>
      </c>
      <c r="M94" s="94">
        <f t="shared" si="35"/>
        <v>0.97500000000000009</v>
      </c>
      <c r="N94" s="94">
        <f t="shared" si="35"/>
        <v>0.97500000000000009</v>
      </c>
      <c r="O94" s="94">
        <f t="shared" si="35"/>
        <v>1.0237499999999997</v>
      </c>
      <c r="P94" s="94">
        <f t="shared" si="35"/>
        <v>1.0724999999999998</v>
      </c>
      <c r="Q94" s="94">
        <f t="shared" si="35"/>
        <v>1.0724999999999998</v>
      </c>
    </row>
    <row r="95" spans="2:17">
      <c r="D95" s="5" t="str">
        <f>$D$27</f>
        <v>Interest Paid</v>
      </c>
      <c r="J95" s="91">
        <f t="shared" ref="J95:Q95" si="36">J$27</f>
        <v>-3.25</v>
      </c>
      <c r="K95" s="91">
        <f t="shared" si="36"/>
        <v>-3.25</v>
      </c>
      <c r="L95" s="91">
        <f t="shared" si="36"/>
        <v>-3.25</v>
      </c>
      <c r="M95" s="91">
        <f t="shared" si="36"/>
        <v>-3.25</v>
      </c>
      <c r="N95" s="91">
        <f t="shared" si="36"/>
        <v>-3.4125000000000001</v>
      </c>
      <c r="O95" s="91">
        <f t="shared" si="36"/>
        <v>-3.5750000000000002</v>
      </c>
      <c r="P95" s="91">
        <f t="shared" si="36"/>
        <v>-3.5750000000000002</v>
      </c>
      <c r="Q95" s="91">
        <f t="shared" si="36"/>
        <v>-3.5750000000000002</v>
      </c>
    </row>
    <row r="96" spans="2:17">
      <c r="D96" s="5" t="str">
        <f>D43</f>
        <v>Debt Drawdowns</v>
      </c>
      <c r="J96" s="91">
        <f>J43</f>
        <v>0</v>
      </c>
      <c r="K96" s="91">
        <f t="shared" ref="K96:Q96" si="37">K43</f>
        <v>0</v>
      </c>
      <c r="L96" s="91">
        <f t="shared" si="37"/>
        <v>0</v>
      </c>
      <c r="M96" s="91">
        <f t="shared" si="37"/>
        <v>0</v>
      </c>
      <c r="N96" s="91">
        <f t="shared" si="37"/>
        <v>50</v>
      </c>
      <c r="O96" s="91">
        <f t="shared" si="37"/>
        <v>0</v>
      </c>
      <c r="P96" s="91">
        <f t="shared" si="37"/>
        <v>0</v>
      </c>
      <c r="Q96" s="91">
        <f t="shared" si="37"/>
        <v>0</v>
      </c>
    </row>
    <row r="97" spans="4:17">
      <c r="D97" s="5" t="str">
        <f>D44</f>
        <v>Debt Repayments</v>
      </c>
      <c r="J97" s="93">
        <f>J44</f>
        <v>0</v>
      </c>
      <c r="K97" s="93">
        <f t="shared" ref="K97:Q97" si="38">K44</f>
        <v>0</v>
      </c>
      <c r="L97" s="93">
        <f t="shared" si="38"/>
        <v>0</v>
      </c>
      <c r="M97" s="93">
        <f t="shared" si="38"/>
        <v>0</v>
      </c>
      <c r="N97" s="93">
        <f t="shared" si="38"/>
        <v>-45</v>
      </c>
      <c r="O97" s="93">
        <f t="shared" si="38"/>
        <v>0</v>
      </c>
      <c r="P97" s="93">
        <f t="shared" si="38"/>
        <v>0</v>
      </c>
      <c r="Q97" s="93">
        <f t="shared" si="38"/>
        <v>0</v>
      </c>
    </row>
    <row r="98" spans="4:17">
      <c r="D98" s="106" t="s">
        <v>24</v>
      </c>
      <c r="J98" s="94">
        <f t="shared" ref="J98:Q98" si="39">SUM(J94:J97)</f>
        <v>-1.75</v>
      </c>
      <c r="K98" s="94">
        <f t="shared" si="39"/>
        <v>-2.2749999999999999</v>
      </c>
      <c r="L98" s="94">
        <f t="shared" si="39"/>
        <v>-2.2749999999999999</v>
      </c>
      <c r="M98" s="94">
        <f t="shared" si="39"/>
        <v>-2.2749999999999999</v>
      </c>
      <c r="N98" s="94">
        <f t="shared" si="39"/>
        <v>2.5625</v>
      </c>
      <c r="O98" s="94">
        <f t="shared" si="39"/>
        <v>-2.5512500000000005</v>
      </c>
      <c r="P98" s="94">
        <f t="shared" si="39"/>
        <v>-2.5025000000000004</v>
      </c>
      <c r="Q98" s="94">
        <f t="shared" si="39"/>
        <v>-2.5025000000000004</v>
      </c>
    </row>
    <row r="99" spans="4:17">
      <c r="D99" s="5" t="str">
        <f>D45</f>
        <v>Equity Raisings</v>
      </c>
      <c r="J99" s="91">
        <f>J45</f>
        <v>0</v>
      </c>
      <c r="K99" s="91">
        <f t="shared" ref="K99:Q99" si="40">K45</f>
        <v>0</v>
      </c>
      <c r="L99" s="91">
        <f t="shared" si="40"/>
        <v>0</v>
      </c>
      <c r="M99" s="91">
        <f t="shared" si="40"/>
        <v>0</v>
      </c>
      <c r="N99" s="91">
        <f t="shared" si="40"/>
        <v>0</v>
      </c>
      <c r="O99" s="91">
        <f t="shared" si="40"/>
        <v>0</v>
      </c>
      <c r="P99" s="91">
        <f t="shared" si="40"/>
        <v>0</v>
      </c>
      <c r="Q99" s="91">
        <f t="shared" si="40"/>
        <v>0</v>
      </c>
    </row>
    <row r="100" spans="4:17">
      <c r="D100" s="5" t="str">
        <f>D46</f>
        <v>Equity Repayments</v>
      </c>
      <c r="J100" s="91">
        <f>J46</f>
        <v>0</v>
      </c>
      <c r="K100" s="91">
        <f t="shared" ref="K100:Q100" si="41">K46</f>
        <v>0</v>
      </c>
      <c r="L100" s="91">
        <f t="shared" si="41"/>
        <v>0</v>
      </c>
      <c r="M100" s="91">
        <f t="shared" si="41"/>
        <v>0</v>
      </c>
      <c r="N100" s="91">
        <f t="shared" si="41"/>
        <v>0</v>
      </c>
      <c r="O100" s="91">
        <f t="shared" si="41"/>
        <v>0</v>
      </c>
      <c r="P100" s="91">
        <f t="shared" si="41"/>
        <v>0</v>
      </c>
      <c r="Q100" s="91">
        <f t="shared" si="41"/>
        <v>0</v>
      </c>
    </row>
    <row r="101" spans="4:17">
      <c r="D101" s="106" t="s">
        <v>186</v>
      </c>
      <c r="J101" s="134">
        <f t="shared" ref="J101:Q101" si="42">SUM(J98:J100)</f>
        <v>-1.75</v>
      </c>
      <c r="K101" s="134">
        <f t="shared" si="42"/>
        <v>-2.2749999999999999</v>
      </c>
      <c r="L101" s="134">
        <f t="shared" si="42"/>
        <v>-2.2749999999999999</v>
      </c>
      <c r="M101" s="134">
        <f t="shared" si="42"/>
        <v>-2.2749999999999999</v>
      </c>
      <c r="N101" s="134">
        <f t="shared" si="42"/>
        <v>2.5625</v>
      </c>
      <c r="O101" s="134">
        <f t="shared" si="42"/>
        <v>-2.5512500000000005</v>
      </c>
      <c r="P101" s="134">
        <f t="shared" si="42"/>
        <v>-2.5025000000000004</v>
      </c>
      <c r="Q101" s="134">
        <f t="shared" si="42"/>
        <v>-2.5025000000000004</v>
      </c>
    </row>
    <row r="102" spans="4:17">
      <c r="D102" s="5" t="str">
        <f>$D$47</f>
        <v>Dividends Paid During Period</v>
      </c>
      <c r="J102" s="91">
        <f t="shared" ref="J102:Q102" si="43">J$47</f>
        <v>0</v>
      </c>
      <c r="K102" s="91">
        <f t="shared" si="43"/>
        <v>0</v>
      </c>
      <c r="L102" s="91">
        <f t="shared" si="43"/>
        <v>0</v>
      </c>
      <c r="M102" s="91">
        <f t="shared" si="43"/>
        <v>0</v>
      </c>
      <c r="N102" s="91">
        <f t="shared" si="43"/>
        <v>0</v>
      </c>
      <c r="O102" s="91">
        <f t="shared" si="43"/>
        <v>0</v>
      </c>
      <c r="P102" s="91">
        <f t="shared" si="43"/>
        <v>0</v>
      </c>
      <c r="Q102" s="91">
        <f t="shared" si="43"/>
        <v>0</v>
      </c>
    </row>
    <row r="103" spans="4:17" ht="11.25" thickBot="1">
      <c r="D103" s="4" t="str">
        <f>$C$50</f>
        <v>Net Increase / (Decrease) in Cash Held</v>
      </c>
      <c r="J103" s="133">
        <f t="shared" ref="J103:Q103" si="44">SUM(J101:J102)</f>
        <v>-1.75</v>
      </c>
      <c r="K103" s="133">
        <f t="shared" si="44"/>
        <v>-2.2749999999999999</v>
      </c>
      <c r="L103" s="133">
        <f t="shared" si="44"/>
        <v>-2.2749999999999999</v>
      </c>
      <c r="M103" s="133">
        <f t="shared" si="44"/>
        <v>-2.2749999999999999</v>
      </c>
      <c r="N103" s="133">
        <f t="shared" si="44"/>
        <v>2.5625</v>
      </c>
      <c r="O103" s="133">
        <f t="shared" si="44"/>
        <v>-2.5512500000000005</v>
      </c>
      <c r="P103" s="133">
        <f t="shared" si="44"/>
        <v>-2.5025000000000004</v>
      </c>
      <c r="Q103" s="133">
        <f t="shared" si="44"/>
        <v>-2.5025000000000004</v>
      </c>
    </row>
    <row r="104" spans="4:17" ht="11.25" thickTop="1"/>
    <row r="105" spans="4:17" hidden="1" outlineLevel="2">
      <c r="E105" s="105" t="s">
        <v>25</v>
      </c>
      <c r="J105" s="135">
        <f t="shared" ref="J105:Q105" si="45">IF(ISERROR(J31+J39+J48-J50),1,0)</f>
        <v>0</v>
      </c>
      <c r="K105" s="135">
        <f t="shared" si="45"/>
        <v>0</v>
      </c>
      <c r="L105" s="135">
        <f t="shared" si="45"/>
        <v>0</v>
      </c>
      <c r="M105" s="135">
        <f t="shared" si="45"/>
        <v>0</v>
      </c>
      <c r="N105" s="135">
        <f t="shared" si="45"/>
        <v>0</v>
      </c>
      <c r="O105" s="135">
        <f t="shared" si="45"/>
        <v>0</v>
      </c>
      <c r="P105" s="135">
        <f t="shared" si="45"/>
        <v>0</v>
      </c>
      <c r="Q105" s="135">
        <f t="shared" si="45"/>
        <v>0</v>
      </c>
    </row>
    <row r="106" spans="4:17" hidden="1" outlineLevel="2">
      <c r="E106" s="105" t="s">
        <v>27</v>
      </c>
      <c r="J106" s="135">
        <f t="shared" ref="J106:Q106" si="46">IF(ISERROR(J67+J75+J84-J86),1,0)</f>
        <v>0</v>
      </c>
      <c r="K106" s="135">
        <f t="shared" si="46"/>
        <v>0</v>
      </c>
      <c r="L106" s="135">
        <f t="shared" si="46"/>
        <v>0</v>
      </c>
      <c r="M106" s="135">
        <f t="shared" si="46"/>
        <v>0</v>
      </c>
      <c r="N106" s="135">
        <f t="shared" si="46"/>
        <v>0</v>
      </c>
      <c r="O106" s="135">
        <f t="shared" si="46"/>
        <v>0</v>
      </c>
      <c r="P106" s="135">
        <f t="shared" si="46"/>
        <v>0</v>
      </c>
      <c r="Q106" s="135">
        <f t="shared" si="46"/>
        <v>0</v>
      </c>
    </row>
    <row r="107" spans="4:17" hidden="1" outlineLevel="2">
      <c r="E107" s="105" t="s">
        <v>26</v>
      </c>
      <c r="J107" s="136">
        <f t="shared" ref="J107:Q107" si="47">IF(J105&lt;&gt;0,0,IF(ROUND(J31+J39+J48-J50,5)&lt;&gt;0,1,0))</f>
        <v>0</v>
      </c>
      <c r="K107" s="136">
        <f t="shared" si="47"/>
        <v>0</v>
      </c>
      <c r="L107" s="136">
        <f t="shared" si="47"/>
        <v>0</v>
      </c>
      <c r="M107" s="136">
        <f t="shared" si="47"/>
        <v>0</v>
      </c>
      <c r="N107" s="136">
        <f t="shared" si="47"/>
        <v>0</v>
      </c>
      <c r="O107" s="136">
        <f t="shared" si="47"/>
        <v>0</v>
      </c>
      <c r="P107" s="136">
        <f t="shared" si="47"/>
        <v>0</v>
      </c>
      <c r="Q107" s="136">
        <f t="shared" si="47"/>
        <v>0</v>
      </c>
    </row>
    <row r="108" spans="4:17" hidden="1" outlineLevel="2">
      <c r="E108" s="105" t="s">
        <v>28</v>
      </c>
      <c r="J108" s="136">
        <f t="shared" ref="J108:Q108" si="48">IF(J106&lt;&gt;0,0,IF(ROUND(J67+J75+J84-J86,5)&lt;&gt;0,1,0))</f>
        <v>0</v>
      </c>
      <c r="K108" s="136">
        <f t="shared" si="48"/>
        <v>0</v>
      </c>
      <c r="L108" s="136">
        <f t="shared" si="48"/>
        <v>0</v>
      </c>
      <c r="M108" s="136">
        <f t="shared" si="48"/>
        <v>0</v>
      </c>
      <c r="N108" s="136">
        <f t="shared" si="48"/>
        <v>0</v>
      </c>
      <c r="O108" s="136">
        <f t="shared" si="48"/>
        <v>0</v>
      </c>
      <c r="P108" s="136">
        <f t="shared" si="48"/>
        <v>0</v>
      </c>
      <c r="Q108" s="136">
        <f t="shared" si="48"/>
        <v>0</v>
      </c>
    </row>
    <row r="109" spans="4:17" hidden="1" outlineLevel="2">
      <c r="E109" s="105" t="s">
        <v>29</v>
      </c>
      <c r="J109" s="136">
        <f t="shared" ref="J109:Q109" si="49">IF(OR(J105&lt;&gt;0,J106&lt;&gt;0),0,IF(ROUND(J50-J86,5)&lt;&gt;0,1,0))</f>
        <v>0</v>
      </c>
      <c r="K109" s="136">
        <f t="shared" si="49"/>
        <v>0</v>
      </c>
      <c r="L109" s="136">
        <f t="shared" si="49"/>
        <v>0</v>
      </c>
      <c r="M109" s="136">
        <f t="shared" si="49"/>
        <v>0</v>
      </c>
      <c r="N109" s="136">
        <f t="shared" si="49"/>
        <v>0</v>
      </c>
      <c r="O109" s="136">
        <f t="shared" si="49"/>
        <v>0</v>
      </c>
      <c r="P109" s="136">
        <f t="shared" si="49"/>
        <v>0</v>
      </c>
      <c r="Q109" s="136">
        <f t="shared" si="49"/>
        <v>0</v>
      </c>
    </row>
    <row r="110" spans="4:17" hidden="1" outlineLevel="2">
      <c r="E110" s="105" t="s">
        <v>30</v>
      </c>
      <c r="J110" s="119">
        <f t="shared" ref="J110:Q110" si="50">IF(J105&lt;&gt;0,0,IF(ROUND(J86-J103,5)&lt;&gt;0,1,0))</f>
        <v>0</v>
      </c>
      <c r="K110" s="119">
        <f t="shared" si="50"/>
        <v>0</v>
      </c>
      <c r="L110" s="119">
        <f t="shared" si="50"/>
        <v>0</v>
      </c>
      <c r="M110" s="119">
        <f t="shared" si="50"/>
        <v>0</v>
      </c>
      <c r="N110" s="119">
        <f t="shared" si="50"/>
        <v>0</v>
      </c>
      <c r="O110" s="119">
        <f t="shared" si="50"/>
        <v>0</v>
      </c>
      <c r="P110" s="119">
        <f t="shared" si="50"/>
        <v>0</v>
      </c>
      <c r="Q110" s="119">
        <f t="shared" si="50"/>
        <v>0</v>
      </c>
    </row>
    <row r="111" spans="4:17" collapsed="1">
      <c r="D111" s="105" t="s">
        <v>272</v>
      </c>
      <c r="I111" s="95">
        <f>IF(ISERROR(SUM(J111:Q111)),0,MIN(SUM(J111:Q111),1))</f>
        <v>0</v>
      </c>
      <c r="J111" s="92">
        <f t="shared" ref="J111:Q111" si="51">MIN(SUM(J105:J110),1)</f>
        <v>0</v>
      </c>
      <c r="K111" s="92">
        <f t="shared" si="51"/>
        <v>0</v>
      </c>
      <c r="L111" s="92">
        <f t="shared" si="51"/>
        <v>0</v>
      </c>
      <c r="M111" s="92">
        <f t="shared" si="51"/>
        <v>0</v>
      </c>
      <c r="N111" s="92">
        <f t="shared" si="51"/>
        <v>0</v>
      </c>
      <c r="O111" s="92">
        <f t="shared" si="51"/>
        <v>0</v>
      </c>
      <c r="P111" s="92">
        <f t="shared" si="51"/>
        <v>0</v>
      </c>
      <c r="Q111" s="92">
        <f t="shared" si="51"/>
        <v>0</v>
      </c>
    </row>
    <row r="113" spans="3:9" s="13" customFormat="1">
      <c r="C113" s="154" t="s">
        <v>118</v>
      </c>
    </row>
    <row r="114" spans="3:9" s="13" customFormat="1">
      <c r="C114" s="132">
        <v>1</v>
      </c>
      <c r="D114" s="113" t="str">
        <f>"All values are stated in "&amp;INDEX(LU_Denom,DD_TS_Denom)&amp;" unless stated otherwise."</f>
        <v>All values are stated in $Millions unless stated otherwise.</v>
      </c>
    </row>
    <row r="115" spans="3:9" s="13" customFormat="1"/>
    <row r="116" spans="3:9" s="13" customFormat="1">
      <c r="C116" s="104" t="str">
        <f>"Go to "&amp;Err_Chk_11_Hdg</f>
        <v>Go to Income Statement</v>
      </c>
      <c r="D116" s="7"/>
      <c r="E116" s="7"/>
      <c r="F116" s="7"/>
      <c r="G116" s="7"/>
      <c r="H116" s="7"/>
      <c r="I116" s="7"/>
    </row>
    <row r="117" spans="3:9" s="13" customFormat="1">
      <c r="C117" s="104" t="str">
        <f>"Go to "&amp;BS_TO!$B$1</f>
        <v>Go to Balance Sheet</v>
      </c>
      <c r="D117" s="7"/>
      <c r="E117" s="7"/>
      <c r="F117" s="7"/>
      <c r="G117" s="7"/>
      <c r="H117" s="7"/>
      <c r="I117" s="7"/>
    </row>
  </sheetData>
  <mergeCells count="1">
    <mergeCell ref="B3:F3"/>
  </mergeCells>
  <conditionalFormatting sqref="J105:Q111 I111">
    <cfRule type="cellIs" dxfId="36" priority="2" stopIfTrue="1" operator="notEqual">
      <formula>0</formula>
    </cfRule>
  </conditionalFormatting>
  <conditionalFormatting sqref="D111">
    <cfRule type="expression" dxfId="35" priority="1" stopIfTrue="1">
      <formula>I111&lt;&gt;0</formula>
    </cfRule>
  </conditionalFormatting>
  <hyperlinks>
    <hyperlink ref="C116:I116" location="HL_Sheet_Main_35" tooltip="Go to Income Statement" display="HL_Sheet_Main_35"/>
    <hyperlink ref="C117:I117" location="HL_Sheet_Main_36" tooltip="Go to Balance Sheet" display="HL_Sheet_Main_36"/>
    <hyperlink ref="B3" location="HL_Home" tooltip="Go to Table of Contents" display="HL_Home"/>
    <hyperlink ref="A4" location="$B$14" tooltip="Go to Top of Sheet" display="$B$14"/>
    <hyperlink ref="B4" location="HL_Sheet_Main_36" tooltip="Go to Previous Sheet" display="HL_Sheet_Main_36"/>
    <hyperlink ref="C4" location="HL_Sheet_Main_20" tooltip="Go to Next Sheet" display="HL_Sheet_Main_2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95" orientation="landscape" r:id="rId1"/>
  <headerFooter>
    <oddFooter>&amp;L&amp;F
&amp;A
Printed: &amp;T on &amp;D&amp;CPage &amp;P of &amp;N&amp;R&amp;G</oddFooter>
  </headerFooter>
  <rowBreaks count="2" manualBreakCount="2">
    <brk id="52" min="1" max="16" man="1"/>
    <brk id="88" min="1" max="16" man="1"/>
  </rowBreaks>
  <legacy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291</v>
      </c>
    </row>
    <row r="10" spans="3:7" ht="16.5">
      <c r="C10" s="24" t="s">
        <v>381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365</v>
      </c>
    </row>
    <row r="18" spans="3:3">
      <c r="C18" s="178" t="s">
        <v>389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37" tooltip="Go to Previous Sheet" display="HL_Sheet_Main_37"/>
    <hyperlink ref="D13" location="HL_Sheet_Main_19" tooltip="Go to Next Sheet" display="HL_Sheet_Main_1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A1:BE64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2.33203125" defaultRowHeight="10.5"/>
  <cols>
    <col min="1" max="1" width="3.83203125" style="25" customWidth="1"/>
    <col min="2" max="11" width="2.5" style="25" customWidth="1"/>
    <col min="12" max="19" width="11.83203125" style="25" customWidth="1"/>
    <col min="20" max="21" width="2.33203125" style="25"/>
    <col min="22" max="31" width="2.5" style="25" customWidth="1"/>
    <col min="32" max="39" width="11.83203125" style="25" customWidth="1"/>
    <col min="40" max="41" width="2.33203125" style="25"/>
    <col min="42" max="45" width="3.83203125" style="25" customWidth="1"/>
    <col min="46" max="57" width="11.83203125" style="25" customWidth="1"/>
    <col min="58" max="16384" width="2.33203125" style="25"/>
  </cols>
  <sheetData>
    <row r="1" spans="1:57" ht="18">
      <c r="B1" s="27" t="s">
        <v>295</v>
      </c>
    </row>
    <row r="2" spans="1:57" ht="15">
      <c r="B2" s="26" t="str">
        <f>Model_Name</f>
        <v>SMA 13. Multiple Workbooks - Practical Training Exercise 1 (Alert in Ordinary Equity - Outputs)</v>
      </c>
    </row>
    <row r="3" spans="1:57">
      <c r="B3" s="243" t="s">
        <v>48</v>
      </c>
      <c r="C3" s="243"/>
      <c r="D3" s="243"/>
      <c r="E3" s="243"/>
      <c r="F3" s="243"/>
      <c r="G3" s="243"/>
      <c r="H3" s="243"/>
      <c r="I3" s="243"/>
      <c r="J3" s="243"/>
      <c r="K3" s="243"/>
      <c r="L3" s="109"/>
    </row>
    <row r="4" spans="1:57" ht="12.75">
      <c r="A4" s="28" t="s">
        <v>51</v>
      </c>
      <c r="B4" s="247" t="s">
        <v>53</v>
      </c>
      <c r="C4" s="247"/>
      <c r="D4" s="248" t="s">
        <v>102</v>
      </c>
      <c r="E4" s="248"/>
      <c r="F4" s="249" t="s">
        <v>120</v>
      </c>
      <c r="G4" s="249"/>
      <c r="H4" s="249" t="s">
        <v>121</v>
      </c>
      <c r="I4" s="249"/>
      <c r="J4" s="249" t="s">
        <v>122</v>
      </c>
      <c r="K4" s="249"/>
    </row>
    <row r="7" spans="1:57" ht="11.25">
      <c r="B7" s="268" t="s">
        <v>47</v>
      </c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70"/>
      <c r="V7" s="273" t="s">
        <v>292</v>
      </c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P7" s="151" t="str">
        <f>IF(TS_Periodicity=Annual,IS_TO!$B$7,IS_TO!$B$6)</f>
        <v>Year Ending 31 December</v>
      </c>
      <c r="AQ7" s="150"/>
      <c r="AR7" s="15"/>
      <c r="AS7" s="15"/>
      <c r="AT7" s="15"/>
      <c r="AU7" s="15"/>
      <c r="AV7" s="15"/>
      <c r="AW7" s="15"/>
      <c r="AX7" s="153" t="str">
        <f>IF(TS_Periodicity=Annual,IS_TO!J$7,IS_TO!J$6)</f>
        <v xml:space="preserve">2010 (F) </v>
      </c>
      <c r="AY7" s="153" t="str">
        <f>IF(TS_Periodicity=Annual,IS_TO!K$7,IS_TO!K$6)</f>
        <v xml:space="preserve">2011 (F) </v>
      </c>
      <c r="AZ7" s="153" t="str">
        <f>IF(TS_Periodicity=Annual,IS_TO!L$7,IS_TO!L$6)</f>
        <v xml:space="preserve">2012 (F) </v>
      </c>
      <c r="BA7" s="153" t="str">
        <f>IF(TS_Periodicity=Annual,IS_TO!M$7,IS_TO!M$6)</f>
        <v xml:space="preserve">2013 (F) </v>
      </c>
      <c r="BB7" s="153" t="str">
        <f>IF(TS_Periodicity=Annual,IS_TO!N$7,IS_TO!N$6)</f>
        <v xml:space="preserve">2014 (F) </v>
      </c>
      <c r="BC7" s="153" t="str">
        <f>IF(TS_Periodicity=Annual,IS_TO!O$7,IS_TO!O$6)</f>
        <v xml:space="preserve">2015 (F) </v>
      </c>
      <c r="BD7" s="153" t="str">
        <f>IF(TS_Periodicity=Annual,IS_TO!P$7,IS_TO!P$6)</f>
        <v xml:space="preserve">2016 (F) </v>
      </c>
      <c r="BE7" s="153" t="str">
        <f>IF(TS_Periodicity=Annual,IS_TO!Q$7,IS_TO!Q$6)</f>
        <v xml:space="preserve">2017 (F) </v>
      </c>
    </row>
    <row r="8" spans="1:57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</row>
    <row r="9" spans="1:57">
      <c r="B9" s="142" t="str">
        <f>IF(TS_Periodicity=Annual,IS_TO!$B$7,IS_TO!$B$6)</f>
        <v>Year Ending 31 December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3" t="str">
        <f>IF(TS_Periodicity=Annual,IS_TO!J$7,IS_TO!J$6)</f>
        <v xml:space="preserve">2010 (F) </v>
      </c>
      <c r="O9" s="143" t="str">
        <f>IF(TS_Periodicity=Annual,IS_TO!K$7,IS_TO!K$6)</f>
        <v xml:space="preserve">2011 (F) </v>
      </c>
      <c r="P9" s="143" t="str">
        <f>IF(TS_Periodicity=Annual,IS_TO!L$7,IS_TO!L$6)</f>
        <v xml:space="preserve">2012 (F) </v>
      </c>
      <c r="Q9" s="143" t="str">
        <f>IF(TS_Periodicity=Annual,IS_TO!M$7,IS_TO!M$6)</f>
        <v xml:space="preserve">2013 (F) </v>
      </c>
      <c r="R9" s="143" t="str">
        <f>IF(TS_Periodicity=Annual,IS_TO!N$7,IS_TO!N$6)</f>
        <v xml:space="preserve">2014 (F) </v>
      </c>
      <c r="S9" s="143" t="str">
        <f>IF(TS_Periodicity=Annual,IS_TO!O$7,IS_TO!O$6)</f>
        <v xml:space="preserve">2015 (F) </v>
      </c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P9" s="165" t="s">
        <v>305</v>
      </c>
    </row>
    <row r="10" spans="1:57"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</row>
    <row r="11" spans="1:57">
      <c r="B11" s="144" t="str">
        <f>IS_TO!D18</f>
        <v>Revenue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5">
        <f>IS_TO!J18</f>
        <v>0</v>
      </c>
      <c r="O11" s="145">
        <f>IS_TO!K18</f>
        <v>0</v>
      </c>
      <c r="P11" s="145">
        <f>IS_TO!L18</f>
        <v>0</v>
      </c>
      <c r="Q11" s="145">
        <f>IS_TO!M18</f>
        <v>0</v>
      </c>
      <c r="R11" s="145">
        <f>IS_TO!N18</f>
        <v>0</v>
      </c>
      <c r="S11" s="145">
        <f>IS_TO!O18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Q11" s="165" t="s">
        <v>218</v>
      </c>
      <c r="AU11" s="5" t="str">
        <f>Fcast_TO!C18</f>
        <v>Revenue</v>
      </c>
    </row>
    <row r="12" spans="1:57">
      <c r="B12" s="172" t="str">
        <f>IS_TO!D19</f>
        <v>Cost of Goods Sold</v>
      </c>
      <c r="N12" s="145">
        <f>IS_TO!J19</f>
        <v>0</v>
      </c>
      <c r="O12" s="145">
        <f>IS_TO!K19</f>
        <v>0</v>
      </c>
      <c r="P12" s="145">
        <f>IS_TO!L19</f>
        <v>0</v>
      </c>
      <c r="Q12" s="145">
        <f>IS_TO!M19</f>
        <v>0</v>
      </c>
      <c r="R12" s="145">
        <f>IS_TO!N19</f>
        <v>0</v>
      </c>
      <c r="S12" s="145">
        <f>IS_TO!O19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</row>
    <row r="13" spans="1:57">
      <c r="B13" s="174" t="str">
        <f>IS_TO!C21</f>
        <v>Gross Margin</v>
      </c>
      <c r="N13" s="146">
        <f>SUM(N11:N12)</f>
        <v>0</v>
      </c>
      <c r="O13" s="146">
        <f t="shared" ref="O13:S13" si="0">SUM(O11:O12)</f>
        <v>0</v>
      </c>
      <c r="P13" s="146">
        <f t="shared" si="0"/>
        <v>0</v>
      </c>
      <c r="Q13" s="146">
        <f t="shared" si="0"/>
        <v>0</v>
      </c>
      <c r="R13" s="146">
        <f t="shared" si="0"/>
        <v>0</v>
      </c>
      <c r="S13" s="146">
        <f t="shared" si="0"/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Q13" s="5" t="str">
        <f>Fcast_TO!C18</f>
        <v>Revenue</v>
      </c>
      <c r="AX13" s="92">
        <f>Fcast_TO!J18</f>
        <v>0</v>
      </c>
      <c r="AY13" s="92">
        <f>Fcast_TO!K18</f>
        <v>0</v>
      </c>
      <c r="AZ13" s="92">
        <f>Fcast_TO!L18</f>
        <v>0</v>
      </c>
      <c r="BA13" s="92">
        <f>Fcast_TO!M18</f>
        <v>0</v>
      </c>
      <c r="BB13" s="92">
        <f>Fcast_TO!N18</f>
        <v>0</v>
      </c>
      <c r="BC13" s="92">
        <f>Fcast_TO!O18</f>
        <v>0</v>
      </c>
      <c r="BD13" s="92">
        <f>Fcast_TO!P18</f>
        <v>0</v>
      </c>
      <c r="BE13" s="92">
        <f>Fcast_TO!Q18</f>
        <v>0</v>
      </c>
    </row>
    <row r="14" spans="1:57">
      <c r="B14" s="144" t="str">
        <f>IS_TO!D23</f>
        <v>Operating Expenditure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5">
        <f>IS_TO!J23</f>
        <v>0</v>
      </c>
      <c r="O14" s="145">
        <f>IS_TO!K23</f>
        <v>0</v>
      </c>
      <c r="P14" s="145">
        <f>IS_TO!L23</f>
        <v>0</v>
      </c>
      <c r="Q14" s="145">
        <f>IS_TO!M23</f>
        <v>0</v>
      </c>
      <c r="R14" s="145">
        <f>IS_TO!N23</f>
        <v>0</v>
      </c>
      <c r="S14" s="145">
        <f>IS_TO!O23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</row>
    <row r="15" spans="1:57">
      <c r="B15" s="173" t="str">
        <f>IS_TO!C25</f>
        <v>EBITDA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6">
        <f>SUM(N13:N14)</f>
        <v>0</v>
      </c>
      <c r="O15" s="146">
        <f t="shared" ref="O15:S15" si="1">SUM(O13:O14)</f>
        <v>0</v>
      </c>
      <c r="P15" s="146">
        <f t="shared" si="1"/>
        <v>0</v>
      </c>
      <c r="Q15" s="146">
        <f t="shared" si="1"/>
        <v>0</v>
      </c>
      <c r="R15" s="146">
        <f t="shared" si="1"/>
        <v>0</v>
      </c>
      <c r="S15" s="146">
        <f t="shared" si="1"/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P15" s="165" t="s">
        <v>306</v>
      </c>
    </row>
    <row r="16" spans="1:57">
      <c r="B16" s="144" t="str">
        <f>IS_TO!D29</f>
        <v>Depreciation &amp; Amortization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5">
        <f>IS_TO!J29</f>
        <v>0</v>
      </c>
      <c r="O16" s="145">
        <f>IS_TO!K29</f>
        <v>0</v>
      </c>
      <c r="P16" s="145">
        <f>IS_TO!L29</f>
        <v>0</v>
      </c>
      <c r="Q16" s="145">
        <f>IS_TO!M29</f>
        <v>0</v>
      </c>
      <c r="R16" s="145">
        <f>IS_TO!N29</f>
        <v>0</v>
      </c>
      <c r="S16" s="145">
        <f>IS_TO!O29</f>
        <v>0</v>
      </c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</row>
    <row r="17" spans="2:57">
      <c r="B17" s="173" t="str">
        <f>IS_TO!C31</f>
        <v>EBIT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6">
        <f>SUM(N15:N16)</f>
        <v>0</v>
      </c>
      <c r="O17" s="146">
        <f t="shared" ref="O17:S17" si="2">SUM(O15:O16)</f>
        <v>0</v>
      </c>
      <c r="P17" s="146">
        <f t="shared" si="2"/>
        <v>0</v>
      </c>
      <c r="Q17" s="146">
        <f t="shared" si="2"/>
        <v>0</v>
      </c>
      <c r="R17" s="146">
        <f t="shared" si="2"/>
        <v>0</v>
      </c>
      <c r="S17" s="146">
        <f t="shared" si="2"/>
        <v>0</v>
      </c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Q17" s="165" t="s">
        <v>218</v>
      </c>
      <c r="AU17" s="5" t="str">
        <f>Fcast_TO!C19</f>
        <v>Cost of Goods Sold</v>
      </c>
    </row>
    <row r="18" spans="2:57">
      <c r="B18" s="144" t="str">
        <f>IS_TO!D33</f>
        <v>Interest Expense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5">
        <f>IS_TO!J33</f>
        <v>-3.25</v>
      </c>
      <c r="O18" s="145">
        <f>IS_TO!K33</f>
        <v>-3.25</v>
      </c>
      <c r="P18" s="145">
        <f>IS_TO!L33</f>
        <v>-3.25</v>
      </c>
      <c r="Q18" s="145">
        <f>IS_TO!M33</f>
        <v>-3.25</v>
      </c>
      <c r="R18" s="145">
        <f>IS_TO!N33</f>
        <v>-3.4125000000000001</v>
      </c>
      <c r="S18" s="145">
        <f>IS_TO!O33</f>
        <v>-3.5750000000000002</v>
      </c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</row>
    <row r="19" spans="2:57">
      <c r="B19" s="173" t="str">
        <f>IS_TO!C35</f>
        <v>Net Profit Before Tax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6">
        <f>SUM(N17:N18)</f>
        <v>-3.25</v>
      </c>
      <c r="O19" s="146">
        <f t="shared" ref="O19:S19" si="3">SUM(O17:O18)</f>
        <v>-3.25</v>
      </c>
      <c r="P19" s="146">
        <f t="shared" si="3"/>
        <v>-3.25</v>
      </c>
      <c r="Q19" s="146">
        <f t="shared" si="3"/>
        <v>-3.25</v>
      </c>
      <c r="R19" s="146">
        <f t="shared" si="3"/>
        <v>-3.4125000000000001</v>
      </c>
      <c r="S19" s="146">
        <f t="shared" si="3"/>
        <v>-3.5750000000000002</v>
      </c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Q19" s="5" t="str">
        <f>Fcast_TO!C19</f>
        <v>Cost of Goods Sold</v>
      </c>
      <c r="AX19" s="92">
        <f>Fcast_TO!J19</f>
        <v>0</v>
      </c>
      <c r="AY19" s="92">
        <f>Fcast_TO!K19</f>
        <v>0</v>
      </c>
      <c r="AZ19" s="92">
        <f>Fcast_TO!L19</f>
        <v>0</v>
      </c>
      <c r="BA19" s="92">
        <f>Fcast_TO!M19</f>
        <v>0</v>
      </c>
      <c r="BB19" s="92">
        <f>Fcast_TO!N19</f>
        <v>0</v>
      </c>
      <c r="BC19" s="92">
        <f>Fcast_TO!O19</f>
        <v>0</v>
      </c>
      <c r="BD19" s="92">
        <f>Fcast_TO!P19</f>
        <v>0</v>
      </c>
      <c r="BE19" s="92">
        <f>Fcast_TO!Q19</f>
        <v>0</v>
      </c>
    </row>
    <row r="20" spans="2:57">
      <c r="B20" s="144" t="str">
        <f>IS_TO!D37</f>
        <v>Tax Expense / (Benefit)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5">
        <f>IS_TO!J37</f>
        <v>0.97499999999999998</v>
      </c>
      <c r="O20" s="145">
        <f>IS_TO!K37</f>
        <v>0.97499999999999998</v>
      </c>
      <c r="P20" s="145">
        <f>IS_TO!L37</f>
        <v>0.97499999999999998</v>
      </c>
      <c r="Q20" s="145">
        <f>IS_TO!M37</f>
        <v>0.97499999999999998</v>
      </c>
      <c r="R20" s="145">
        <f>IS_TO!N37</f>
        <v>1.0237499999999999</v>
      </c>
      <c r="S20" s="145">
        <f>IS_TO!O37</f>
        <v>1.0725</v>
      </c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</row>
    <row r="21" spans="2:57" ht="11.25" thickBot="1">
      <c r="B21" s="173" t="str">
        <f>IS_TO!C39</f>
        <v>Net Profit After Tax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7">
        <f>SUM(N19:N20)</f>
        <v>-2.2749999999999999</v>
      </c>
      <c r="O21" s="147">
        <f t="shared" ref="O21:S21" si="4">SUM(O19:O20)</f>
        <v>-2.2749999999999999</v>
      </c>
      <c r="P21" s="147">
        <f t="shared" si="4"/>
        <v>-2.2749999999999999</v>
      </c>
      <c r="Q21" s="147">
        <f t="shared" si="4"/>
        <v>-2.2749999999999999</v>
      </c>
      <c r="R21" s="147">
        <f t="shared" si="4"/>
        <v>-2.3887499999999999</v>
      </c>
      <c r="S21" s="147">
        <f t="shared" si="4"/>
        <v>-2.5025000000000004</v>
      </c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P21" s="165" t="s">
        <v>312</v>
      </c>
    </row>
    <row r="22" spans="2:57" ht="11.25" thickTop="1"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</row>
    <row r="23" spans="2:57">
      <c r="B23" s="175" t="s">
        <v>304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76" t="str">
        <f t="shared" ref="N23:S23" si="5">IF(ISERROR(N15/N11),"N/A",N15/N11)</f>
        <v>N/A</v>
      </c>
      <c r="O23" s="176" t="str">
        <f t="shared" si="5"/>
        <v>N/A</v>
      </c>
      <c r="P23" s="176" t="str">
        <f t="shared" si="5"/>
        <v>N/A</v>
      </c>
      <c r="Q23" s="176" t="str">
        <f t="shared" si="5"/>
        <v>N/A</v>
      </c>
      <c r="R23" s="176" t="str">
        <f t="shared" si="5"/>
        <v>N/A</v>
      </c>
      <c r="S23" s="176" t="str">
        <f t="shared" si="5"/>
        <v>N/A</v>
      </c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Q23" s="165" t="s">
        <v>218</v>
      </c>
      <c r="AU23" s="5" t="str">
        <f>Fcast_TO!C20</f>
        <v>Operating Expenditure</v>
      </c>
    </row>
    <row r="24" spans="2:57"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</row>
    <row r="25" spans="2:57"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Q25" s="5" t="str">
        <f>Fcast_TO!C20</f>
        <v>Operating Expenditure</v>
      </c>
      <c r="AX25" s="92">
        <f>Fcast_TO!J20</f>
        <v>0</v>
      </c>
      <c r="AY25" s="92">
        <f>Fcast_TO!K20</f>
        <v>0</v>
      </c>
      <c r="AZ25" s="92">
        <f>Fcast_TO!L20</f>
        <v>0</v>
      </c>
      <c r="BA25" s="92">
        <f>Fcast_TO!M20</f>
        <v>0</v>
      </c>
      <c r="BB25" s="92">
        <f>Fcast_TO!N20</f>
        <v>0</v>
      </c>
      <c r="BC25" s="92">
        <f>Fcast_TO!O20</f>
        <v>0</v>
      </c>
      <c r="BD25" s="92">
        <f>Fcast_TO!P20</f>
        <v>0</v>
      </c>
      <c r="BE25" s="92">
        <f>Fcast_TO!Q20</f>
        <v>0</v>
      </c>
    </row>
    <row r="26" spans="2:57" ht="11.25">
      <c r="B26" s="274" t="s">
        <v>0</v>
      </c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6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</row>
    <row r="27" spans="2:57" ht="11.25"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V27" s="273" t="s">
        <v>293</v>
      </c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P27" s="165" t="s">
        <v>313</v>
      </c>
    </row>
    <row r="28" spans="2:57">
      <c r="B28" s="142" t="str">
        <f>IF(TS_Periodicity=Annual,IS_TO!$B$7,IS_TO!$B$6)</f>
        <v>Year Ending 31 December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3" t="str">
        <f>IF(TS_Periodicity=Annual,IS_TO!J$7,IS_TO!J$6)</f>
        <v xml:space="preserve">2010 (F) </v>
      </c>
      <c r="O28" s="143" t="str">
        <f>IF(TS_Periodicity=Annual,IS_TO!K$7,IS_TO!K$6)</f>
        <v xml:space="preserve">2011 (F) </v>
      </c>
      <c r="P28" s="143" t="str">
        <f>IF(TS_Periodicity=Annual,IS_TO!L$7,IS_TO!L$6)</f>
        <v xml:space="preserve">2012 (F) </v>
      </c>
      <c r="Q28" s="143" t="str">
        <f>IF(TS_Periodicity=Annual,IS_TO!M$7,IS_TO!M$6)</f>
        <v xml:space="preserve">2013 (F) </v>
      </c>
      <c r="R28" s="143" t="str">
        <f>IF(TS_Periodicity=Annual,IS_TO!N$7,IS_TO!N$6)</f>
        <v xml:space="preserve">2014 (F) </v>
      </c>
      <c r="S28" s="143" t="str">
        <f>IF(TS_Periodicity=Annual,IS_TO!O$7,IS_TO!O$6)</f>
        <v xml:space="preserve">2015 (F) </v>
      </c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</row>
    <row r="29" spans="2:57"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Q29" s="165" t="s">
        <v>218</v>
      </c>
      <c r="AU29" s="164" t="s">
        <v>363</v>
      </c>
    </row>
    <row r="30" spans="2:57">
      <c r="B30" s="144" t="s">
        <v>31</v>
      </c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5">
        <f>BS_TO!J25</f>
        <v>16.25</v>
      </c>
      <c r="O30" s="145">
        <f>BS_TO!K25</f>
        <v>14.975</v>
      </c>
      <c r="P30" s="145">
        <f>BS_TO!L25</f>
        <v>13.7</v>
      </c>
      <c r="Q30" s="145">
        <f>BS_TO!M25</f>
        <v>12.424999999999999</v>
      </c>
      <c r="R30" s="145">
        <f>BS_TO!N25</f>
        <v>15.987499999999999</v>
      </c>
      <c r="S30" s="145">
        <f>BS_TO!O25</f>
        <v>14.436249999999998</v>
      </c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</row>
    <row r="31" spans="2:57">
      <c r="B31" s="144" t="s">
        <v>32</v>
      </c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5">
        <f>BS_TO!J33</f>
        <v>161.5</v>
      </c>
      <c r="O31" s="145">
        <f>BS_TO!K33</f>
        <v>162.5</v>
      </c>
      <c r="P31" s="145">
        <f>BS_TO!L33</f>
        <v>163.5</v>
      </c>
      <c r="Q31" s="145">
        <f>BS_TO!M33</f>
        <v>164.5</v>
      </c>
      <c r="R31" s="145">
        <f>BS_TO!N33</f>
        <v>165.5</v>
      </c>
      <c r="S31" s="145">
        <f>BS_TO!O33</f>
        <v>166.5</v>
      </c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Q31" s="5" t="str">
        <f>IS_TO!$D$18</f>
        <v>Revenue</v>
      </c>
      <c r="AX31" s="92">
        <f>IS_TO!J18</f>
        <v>0</v>
      </c>
      <c r="AY31" s="92">
        <f>IS_TO!K18</f>
        <v>0</v>
      </c>
      <c r="AZ31" s="92">
        <f>IS_TO!L18</f>
        <v>0</v>
      </c>
      <c r="BA31" s="92">
        <f>IS_TO!M18</f>
        <v>0</v>
      </c>
      <c r="BB31" s="92">
        <f>IS_TO!N18</f>
        <v>0</v>
      </c>
      <c r="BC31" s="92">
        <f>IS_TO!O18</f>
        <v>0</v>
      </c>
      <c r="BD31" s="92">
        <f>IS_TO!P18</f>
        <v>0</v>
      </c>
      <c r="BE31" s="92">
        <f>IS_TO!Q18</f>
        <v>0</v>
      </c>
    </row>
    <row r="32" spans="2:57">
      <c r="B32" s="148" t="s">
        <v>33</v>
      </c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6">
        <f>SUM(N30:N31)</f>
        <v>177.75</v>
      </c>
      <c r="O32" s="146">
        <f t="shared" ref="O32:S32" si="6">SUM(O30:O31)</f>
        <v>177.47499999999999</v>
      </c>
      <c r="P32" s="146">
        <f t="shared" si="6"/>
        <v>177.2</v>
      </c>
      <c r="Q32" s="146">
        <f t="shared" si="6"/>
        <v>176.92500000000001</v>
      </c>
      <c r="R32" s="146">
        <f t="shared" si="6"/>
        <v>181.48750000000001</v>
      </c>
      <c r="S32" s="146">
        <f t="shared" si="6"/>
        <v>180.93625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Q32" s="5" t="str">
        <f>IS_TO!$D$19</f>
        <v>Cost of Goods Sold</v>
      </c>
      <c r="AX32" s="92">
        <f>IS_TO!J19</f>
        <v>0</v>
      </c>
      <c r="AY32" s="92">
        <f>IS_TO!K19</f>
        <v>0</v>
      </c>
      <c r="AZ32" s="92">
        <f>IS_TO!L19</f>
        <v>0</v>
      </c>
      <c r="BA32" s="92">
        <f>IS_TO!M19</f>
        <v>0</v>
      </c>
      <c r="BB32" s="92">
        <f>IS_TO!N19</f>
        <v>0</v>
      </c>
      <c r="BC32" s="92">
        <f>IS_TO!O19</f>
        <v>0</v>
      </c>
      <c r="BD32" s="92">
        <f>IS_TO!P19</f>
        <v>0</v>
      </c>
      <c r="BE32" s="92">
        <f>IS_TO!Q19</f>
        <v>0</v>
      </c>
    </row>
    <row r="33" spans="2:57"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5"/>
      <c r="O33" s="145"/>
      <c r="P33" s="145"/>
      <c r="Q33" s="145"/>
      <c r="R33" s="145"/>
      <c r="S33" s="145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Q33" s="5" t="str">
        <f>IS_TO!$D$23</f>
        <v>Operating Expenditure</v>
      </c>
      <c r="AX33" s="92">
        <f>IS_TO!J23</f>
        <v>0</v>
      </c>
      <c r="AY33" s="92">
        <f>IS_TO!K23</f>
        <v>0</v>
      </c>
      <c r="AZ33" s="92">
        <f>IS_TO!L23</f>
        <v>0</v>
      </c>
      <c r="BA33" s="92">
        <f>IS_TO!M23</f>
        <v>0</v>
      </c>
      <c r="BB33" s="92">
        <f>IS_TO!N23</f>
        <v>0</v>
      </c>
      <c r="BC33" s="92">
        <f>IS_TO!O23</f>
        <v>0</v>
      </c>
      <c r="BD33" s="92">
        <f>IS_TO!P23</f>
        <v>0</v>
      </c>
      <c r="BE33" s="92">
        <f>IS_TO!Q23</f>
        <v>0</v>
      </c>
    </row>
    <row r="34" spans="2:57">
      <c r="B34" s="144" t="s">
        <v>34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5">
        <f>BS_TO!J44</f>
        <v>3.0249999999999999</v>
      </c>
      <c r="O34" s="145">
        <f>BS_TO!K44</f>
        <v>4.0249999999999995</v>
      </c>
      <c r="P34" s="145">
        <f>BS_TO!L44</f>
        <v>5.0249999999999995</v>
      </c>
      <c r="Q34" s="145">
        <f>BS_TO!M44</f>
        <v>6.0249999999999995</v>
      </c>
      <c r="R34" s="145">
        <f>BS_TO!N44</f>
        <v>6.9762500000000003</v>
      </c>
      <c r="S34" s="145">
        <f>BS_TO!O44</f>
        <v>7.9274999999999993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Q34" s="5" t="str">
        <f>IS_TO!$C$25</f>
        <v>EBITDA</v>
      </c>
      <c r="AX34" s="92">
        <f>IS_TO!J25</f>
        <v>0</v>
      </c>
      <c r="AY34" s="92">
        <f>IS_TO!K25</f>
        <v>0</v>
      </c>
      <c r="AZ34" s="92">
        <f>IS_TO!L25</f>
        <v>0</v>
      </c>
      <c r="BA34" s="92">
        <f>IS_TO!M25</f>
        <v>0</v>
      </c>
      <c r="BB34" s="92">
        <f>IS_TO!N25</f>
        <v>0</v>
      </c>
      <c r="BC34" s="92">
        <f>IS_TO!O25</f>
        <v>0</v>
      </c>
      <c r="BD34" s="92">
        <f>IS_TO!P25</f>
        <v>0</v>
      </c>
      <c r="BE34" s="92">
        <f>IS_TO!Q25</f>
        <v>0</v>
      </c>
    </row>
    <row r="35" spans="2:57">
      <c r="B35" s="144" t="s">
        <v>36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5">
        <f>BS_TO!J51</f>
        <v>56</v>
      </c>
      <c r="O35" s="145">
        <f>BS_TO!K51</f>
        <v>57</v>
      </c>
      <c r="P35" s="145">
        <f>BS_TO!L51</f>
        <v>58</v>
      </c>
      <c r="Q35" s="145">
        <f>BS_TO!M51</f>
        <v>59</v>
      </c>
      <c r="R35" s="145">
        <f>BS_TO!N51</f>
        <v>65</v>
      </c>
      <c r="S35" s="145">
        <f>BS_TO!O51</f>
        <v>66</v>
      </c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</row>
    <row r="36" spans="2:57">
      <c r="B36" s="148" t="s">
        <v>37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6">
        <f>SUM(N34:N35)</f>
        <v>59.024999999999999</v>
      </c>
      <c r="O36" s="146">
        <f t="shared" ref="O36:S36" si="7">SUM(O34:O35)</f>
        <v>61.024999999999999</v>
      </c>
      <c r="P36" s="146">
        <f t="shared" si="7"/>
        <v>63.024999999999999</v>
      </c>
      <c r="Q36" s="146">
        <f t="shared" si="7"/>
        <v>65.025000000000006</v>
      </c>
      <c r="R36" s="146">
        <f t="shared" si="7"/>
        <v>71.976249999999993</v>
      </c>
      <c r="S36" s="146">
        <f t="shared" si="7"/>
        <v>73.927499999999995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P36" s="165" t="s">
        <v>313</v>
      </c>
    </row>
    <row r="37" spans="2:57"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5"/>
      <c r="O37" s="145"/>
      <c r="P37" s="145"/>
      <c r="Q37" s="145"/>
      <c r="R37" s="145"/>
      <c r="S37" s="145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</row>
    <row r="38" spans="2:57">
      <c r="B38" s="148" t="s">
        <v>38</v>
      </c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9">
        <f>N32-N36</f>
        <v>118.72499999999999</v>
      </c>
      <c r="O38" s="149">
        <f t="shared" ref="O38:S38" si="8">O32-O36</f>
        <v>116.44999999999999</v>
      </c>
      <c r="P38" s="149">
        <f t="shared" si="8"/>
        <v>114.17499999999998</v>
      </c>
      <c r="Q38" s="149">
        <f t="shared" si="8"/>
        <v>111.9</v>
      </c>
      <c r="R38" s="149">
        <f t="shared" si="8"/>
        <v>109.51125000000002</v>
      </c>
      <c r="S38" s="149">
        <f t="shared" si="8"/>
        <v>107.00875000000001</v>
      </c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Q38" s="165" t="s">
        <v>218</v>
      </c>
      <c r="AU38" s="113" t="str">
        <f>"Operating Expenditure - Committed vs. Discretionary - "&amp;INDEX(LU_Dashboard_Selected_Period,AU40)</f>
        <v xml:space="preserve">Operating Expenditure - Committed vs. Discretionary - 2010 (F) </v>
      </c>
    </row>
    <row r="39" spans="2:57"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5"/>
      <c r="O39" s="145"/>
      <c r="P39" s="145"/>
      <c r="Q39" s="145"/>
      <c r="R39" s="145"/>
      <c r="S39" s="145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</row>
    <row r="40" spans="2:57">
      <c r="B40" s="144" t="s">
        <v>177</v>
      </c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5">
        <f>BS_TO!J59</f>
        <v>75</v>
      </c>
      <c r="O40" s="145">
        <f>BS_TO!K59</f>
        <v>75</v>
      </c>
      <c r="P40" s="145">
        <f>BS_TO!L59</f>
        <v>75</v>
      </c>
      <c r="Q40" s="145">
        <f>BS_TO!M59</f>
        <v>75</v>
      </c>
      <c r="R40" s="145">
        <f>BS_TO!N59</f>
        <v>75</v>
      </c>
      <c r="S40" s="145">
        <f>BS_TO!O59</f>
        <v>75</v>
      </c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Q40" s="165" t="s">
        <v>308</v>
      </c>
      <c r="AU40" s="227">
        <v>1</v>
      </c>
    </row>
    <row r="41" spans="2:57">
      <c r="B41" s="144" t="s">
        <v>40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5">
        <f>BS_TO!J65</f>
        <v>43.724999999999994</v>
      </c>
      <c r="O41" s="145">
        <f>BS_TO!K65</f>
        <v>41.449999999999996</v>
      </c>
      <c r="P41" s="145">
        <f>BS_TO!L65</f>
        <v>39.174999999999997</v>
      </c>
      <c r="Q41" s="145">
        <f>BS_TO!M65</f>
        <v>36.9</v>
      </c>
      <c r="R41" s="145">
        <f>BS_TO!N65</f>
        <v>34.511249999999997</v>
      </c>
      <c r="S41" s="145">
        <f>BS_TO!O65</f>
        <v>32.008749999999999</v>
      </c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</row>
    <row r="42" spans="2:57">
      <c r="B42" s="148" t="s">
        <v>41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9">
        <f>SUM(N40:N41)</f>
        <v>118.72499999999999</v>
      </c>
      <c r="O42" s="149">
        <f t="shared" ref="O42:S42" si="9">SUM(O40:O41)</f>
        <v>116.44999999999999</v>
      </c>
      <c r="P42" s="149">
        <f t="shared" si="9"/>
        <v>114.175</v>
      </c>
      <c r="Q42" s="149">
        <f t="shared" si="9"/>
        <v>111.9</v>
      </c>
      <c r="R42" s="149">
        <f t="shared" si="9"/>
        <v>109.51124999999999</v>
      </c>
      <c r="S42" s="149">
        <f t="shared" si="9"/>
        <v>107.00874999999999</v>
      </c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Q42" s="164" t="s">
        <v>315</v>
      </c>
      <c r="AW42" s="155">
        <v>0.47499999999999998</v>
      </c>
      <c r="AX42" s="91">
        <f ca="1">SUM(OFFSET($AX$25:$AX$25,0,$AU$40-1))*AW42</f>
        <v>0</v>
      </c>
    </row>
    <row r="43" spans="2:57"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Q43" s="164" t="s">
        <v>314</v>
      </c>
      <c r="AW43" s="114">
        <f>1-AW42</f>
        <v>0.52500000000000002</v>
      </c>
      <c r="AX43" s="91">
        <f ca="1">SUM(OFFSET($AX$25:$AX$25,0,$AU$40-1))*AW43</f>
        <v>0</v>
      </c>
    </row>
    <row r="44" spans="2:57"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Q44" s="5"/>
      <c r="AX44" s="91"/>
    </row>
    <row r="45" spans="2:57" ht="11.25">
      <c r="B45" s="277" t="s">
        <v>46</v>
      </c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9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P45" s="165" t="s">
        <v>323</v>
      </c>
      <c r="AQ45" s="5"/>
      <c r="AX45" s="91"/>
    </row>
    <row r="46" spans="2:57" ht="11.25"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V46" s="273" t="s">
        <v>294</v>
      </c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Q46" s="5"/>
      <c r="AX46" s="91"/>
    </row>
    <row r="47" spans="2:57">
      <c r="B47" s="142" t="str">
        <f>IF(TS_Periodicity=Annual,IS_TO!$B$7,IS_TO!$B$6)</f>
        <v>Year Ending 31 December</v>
      </c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3" t="str">
        <f>IF(TS_Periodicity=Annual,IS_TO!J$7,IS_TO!J$6)</f>
        <v xml:space="preserve">2010 (F) </v>
      </c>
      <c r="O47" s="143" t="str">
        <f>IF(TS_Periodicity=Annual,IS_TO!K$7,IS_TO!K$6)</f>
        <v xml:space="preserve">2011 (F) </v>
      </c>
      <c r="P47" s="143" t="str">
        <f>IF(TS_Periodicity=Annual,IS_TO!L$7,IS_TO!L$6)</f>
        <v xml:space="preserve">2012 (F) </v>
      </c>
      <c r="Q47" s="143" t="str">
        <f>IF(TS_Periodicity=Annual,IS_TO!M$7,IS_TO!M$6)</f>
        <v xml:space="preserve">2013 (F) </v>
      </c>
      <c r="R47" s="143" t="str">
        <f>IF(TS_Periodicity=Annual,IS_TO!N$7,IS_TO!N$6)</f>
        <v xml:space="preserve">2014 (F) </v>
      </c>
      <c r="S47" s="143" t="str">
        <f>IF(TS_Periodicity=Annual,IS_TO!O$7,IS_TO!O$6)</f>
        <v xml:space="preserve">2015 (F) </v>
      </c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Q47" s="165" t="s">
        <v>218</v>
      </c>
      <c r="AU47" s="113" t="str">
        <f>"Net Assets - "&amp;INDEX(LU_Dashboard_Selected_Period,AU49)</f>
        <v xml:space="preserve">Net Assets - 2010 (F) </v>
      </c>
    </row>
    <row r="48" spans="2:57"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</row>
    <row r="49" spans="2:54">
      <c r="B49" s="144" t="s">
        <v>142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5">
        <f>CFS_TO!J22</f>
        <v>21</v>
      </c>
      <c r="O49" s="145">
        <f>CFS_TO!K22</f>
        <v>0</v>
      </c>
      <c r="P49" s="145">
        <f>CFS_TO!L22</f>
        <v>0</v>
      </c>
      <c r="Q49" s="145">
        <f>CFS_TO!M22</f>
        <v>0</v>
      </c>
      <c r="R49" s="145">
        <f>CFS_TO!N22</f>
        <v>0</v>
      </c>
      <c r="S49" s="145">
        <f>CFS_TO!O22</f>
        <v>0</v>
      </c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Q49" s="165" t="s">
        <v>308</v>
      </c>
      <c r="AU49" s="227">
        <v>1</v>
      </c>
    </row>
    <row r="50" spans="2:54">
      <c r="B50" s="144" t="s">
        <v>147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5">
        <f>CFS_TO!J26</f>
        <v>-16</v>
      </c>
      <c r="O50" s="145">
        <f>CFS_TO!K26</f>
        <v>0</v>
      </c>
      <c r="P50" s="145">
        <f>CFS_TO!L26</f>
        <v>0</v>
      </c>
      <c r="Q50" s="145">
        <f>CFS_TO!M26</f>
        <v>0</v>
      </c>
      <c r="R50" s="145">
        <f>CFS_TO!N26</f>
        <v>0</v>
      </c>
      <c r="S50" s="145">
        <f>CFS_TO!O26</f>
        <v>0</v>
      </c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</row>
    <row r="51" spans="2:54">
      <c r="B51" s="144" t="s">
        <v>302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5">
        <f>N52-SUM(N49:N50)</f>
        <v>-6.75</v>
      </c>
      <c r="O51" s="145">
        <f t="shared" ref="O51:S51" si="10">O52-SUM(O49:O50)</f>
        <v>-2.2749999999999999</v>
      </c>
      <c r="P51" s="145">
        <f t="shared" si="10"/>
        <v>-2.2749999999999999</v>
      </c>
      <c r="Q51" s="145">
        <f t="shared" si="10"/>
        <v>-2.2749999999999999</v>
      </c>
      <c r="R51" s="145">
        <f t="shared" si="10"/>
        <v>-2.4375</v>
      </c>
      <c r="S51" s="145">
        <f t="shared" si="10"/>
        <v>-2.5512500000000005</v>
      </c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X51" s="271" t="s">
        <v>10</v>
      </c>
      <c r="AY51" s="271" t="s">
        <v>316</v>
      </c>
      <c r="AZ51" s="271" t="s">
        <v>317</v>
      </c>
      <c r="BA51" s="271" t="s">
        <v>318</v>
      </c>
      <c r="BB51" s="271" t="s">
        <v>319</v>
      </c>
    </row>
    <row r="52" spans="2:54">
      <c r="B52" s="148" t="s">
        <v>296</v>
      </c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9">
        <f>CFS_TO!J31</f>
        <v>-1.75</v>
      </c>
      <c r="O52" s="149">
        <f>CFS_TO!K31</f>
        <v>-2.2749999999999999</v>
      </c>
      <c r="P52" s="149">
        <f>CFS_TO!L31</f>
        <v>-2.2749999999999999</v>
      </c>
      <c r="Q52" s="149">
        <f>CFS_TO!M31</f>
        <v>-2.2749999999999999</v>
      </c>
      <c r="R52" s="149">
        <f>CFS_TO!N31</f>
        <v>-2.4375</v>
      </c>
      <c r="S52" s="149">
        <f>CFS_TO!O31</f>
        <v>-2.5512500000000005</v>
      </c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Q52" s="165" t="s">
        <v>320</v>
      </c>
      <c r="AX52" s="272"/>
      <c r="AY52" s="272"/>
      <c r="AZ52" s="272"/>
      <c r="BA52" s="272"/>
      <c r="BB52" s="272"/>
    </row>
    <row r="53" spans="2:54"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5"/>
      <c r="O53" s="145"/>
      <c r="P53" s="145"/>
      <c r="Q53" s="145"/>
      <c r="R53" s="145"/>
      <c r="S53" s="145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Q53" s="164" t="s">
        <v>321</v>
      </c>
      <c r="AX53" s="91">
        <f ca="1">OFFSET($N$32,0,AU49-1)</f>
        <v>177.75</v>
      </c>
      <c r="AY53" s="91"/>
      <c r="AZ53" s="157">
        <v>0</v>
      </c>
      <c r="BA53" s="159">
        <f ca="1">AX53</f>
        <v>177.75</v>
      </c>
      <c r="BB53" s="91">
        <f ca="1">SUM(AZ53:BA53)</f>
        <v>177.75</v>
      </c>
    </row>
    <row r="54" spans="2:54">
      <c r="B54" s="144" t="s">
        <v>141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5">
        <f>SUM(CFS_TO!J35:J36)</f>
        <v>0</v>
      </c>
      <c r="O54" s="145">
        <f>SUM(CFS_TO!K35:K36)</f>
        <v>0</v>
      </c>
      <c r="P54" s="145">
        <f>SUM(CFS_TO!L35:L36)</f>
        <v>0</v>
      </c>
      <c r="Q54" s="145">
        <f>SUM(CFS_TO!M35:M36)</f>
        <v>0</v>
      </c>
      <c r="R54" s="145">
        <f>SUM(CFS_TO!N35:N36)</f>
        <v>0</v>
      </c>
      <c r="S54" s="145">
        <f>SUM(CFS_TO!O35:O36)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Q54" s="164" t="s">
        <v>322</v>
      </c>
      <c r="AX54" s="93"/>
      <c r="AY54" s="93">
        <f ca="1">-OFFSET($N$36,0,AU49-1)</f>
        <v>-59.024999999999999</v>
      </c>
      <c r="AZ54" s="158">
        <f ca="1">BA53+IF(AY54&lt;0,AY54,0)</f>
        <v>118.72499999999999</v>
      </c>
      <c r="BA54" s="93">
        <f ca="1">ABS(AY54)</f>
        <v>59.024999999999999</v>
      </c>
      <c r="BB54" s="93">
        <f ca="1">SUM(AZ54:BA54)</f>
        <v>177.75</v>
      </c>
    </row>
    <row r="55" spans="2:54">
      <c r="B55" s="144" t="s">
        <v>364</v>
      </c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5">
        <f>SUM(CFS_TO!J37:J38)</f>
        <v>0</v>
      </c>
      <c r="O55" s="145">
        <f>SUM(CFS_TO!K37:K38)</f>
        <v>0</v>
      </c>
      <c r="P55" s="145">
        <f>SUM(CFS_TO!L37:L38)</f>
        <v>0</v>
      </c>
      <c r="Q55" s="145">
        <f>SUM(CFS_TO!M37:M38)</f>
        <v>0</v>
      </c>
      <c r="R55" s="145">
        <f>SUM(CFS_TO!N37:N38)</f>
        <v>0</v>
      </c>
      <c r="S55" s="145">
        <f>SUM(CFS_TO!O37:O38)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Q55" s="165" t="s">
        <v>38</v>
      </c>
      <c r="AX55" s="94">
        <f ca="1">AX53+SUM(AY54:AY54)</f>
        <v>118.72499999999999</v>
      </c>
      <c r="AY55" s="94"/>
      <c r="AZ55" s="156">
        <v>0</v>
      </c>
      <c r="BA55" s="94">
        <f ca="1">SUM(AX53,AY54:AY54)</f>
        <v>118.72499999999999</v>
      </c>
      <c r="BB55" s="94">
        <f ca="1">SUM(AZ55:BA55)</f>
        <v>118.72499999999999</v>
      </c>
    </row>
    <row r="56" spans="2:54">
      <c r="B56" s="148" t="s">
        <v>297</v>
      </c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9">
        <f>SUM(N54:N55)</f>
        <v>0</v>
      </c>
      <c r="O56" s="149">
        <f t="shared" ref="O56:S56" si="11">SUM(O54:O55)</f>
        <v>0</v>
      </c>
      <c r="P56" s="149">
        <f t="shared" si="11"/>
        <v>0</v>
      </c>
      <c r="Q56" s="149">
        <f t="shared" si="11"/>
        <v>0</v>
      </c>
      <c r="R56" s="149">
        <f t="shared" si="11"/>
        <v>0</v>
      </c>
      <c r="S56" s="149">
        <f t="shared" si="11"/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</row>
    <row r="57" spans="2:54"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5"/>
      <c r="O57" s="145"/>
      <c r="P57" s="145"/>
      <c r="Q57" s="145"/>
      <c r="R57" s="145"/>
      <c r="S57" s="145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</row>
    <row r="58" spans="2:54">
      <c r="B58" s="144" t="s">
        <v>298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5">
        <f>SUM(CFS_TO!J43:J44)</f>
        <v>0</v>
      </c>
      <c r="O58" s="145">
        <f>SUM(CFS_TO!K43:K44)</f>
        <v>0</v>
      </c>
      <c r="P58" s="145">
        <f>SUM(CFS_TO!L43:L44)</f>
        <v>0</v>
      </c>
      <c r="Q58" s="145">
        <f>SUM(CFS_TO!M43:M44)</f>
        <v>0</v>
      </c>
      <c r="R58" s="145">
        <f>SUM(CFS_TO!N43:N44)</f>
        <v>5</v>
      </c>
      <c r="S58" s="145">
        <f>SUM(CFS_TO!O43:O44)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</row>
    <row r="59" spans="2:54">
      <c r="B59" s="144" t="s">
        <v>299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5">
        <f>SUM(CFS_TO!J45:J46)</f>
        <v>0</v>
      </c>
      <c r="O59" s="145">
        <f>SUM(CFS_TO!K45:K46)</f>
        <v>0</v>
      </c>
      <c r="P59" s="145">
        <f>SUM(CFS_TO!L45:L46)</f>
        <v>0</v>
      </c>
      <c r="Q59" s="145">
        <f>SUM(CFS_TO!M45:M46)</f>
        <v>0</v>
      </c>
      <c r="R59" s="145">
        <f>SUM(CFS_TO!N45:N46)</f>
        <v>0</v>
      </c>
      <c r="S59" s="145">
        <f>SUM(CFS_TO!O45:O46)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</row>
    <row r="60" spans="2:54">
      <c r="B60" s="144" t="s">
        <v>300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5">
        <f>CFS_TO!J47</f>
        <v>0</v>
      </c>
      <c r="O60" s="145">
        <f>CFS_TO!K47</f>
        <v>0</v>
      </c>
      <c r="P60" s="145">
        <f>CFS_TO!L47</f>
        <v>0</v>
      </c>
      <c r="Q60" s="145">
        <f>CFS_TO!M47</f>
        <v>0</v>
      </c>
      <c r="R60" s="145">
        <f>CFS_TO!N47</f>
        <v>0</v>
      </c>
      <c r="S60" s="145">
        <f>CFS_TO!O47</f>
        <v>0</v>
      </c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</row>
    <row r="61" spans="2:54">
      <c r="B61" s="148" t="s">
        <v>301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9">
        <f>SUM(N58:N60)</f>
        <v>0</v>
      </c>
      <c r="O61" s="149">
        <f t="shared" ref="O61:S61" si="12">SUM(O58:O60)</f>
        <v>0</v>
      </c>
      <c r="P61" s="149">
        <f t="shared" si="12"/>
        <v>0</v>
      </c>
      <c r="Q61" s="149">
        <f t="shared" si="12"/>
        <v>0</v>
      </c>
      <c r="R61" s="149">
        <f t="shared" si="12"/>
        <v>5</v>
      </c>
      <c r="S61" s="149">
        <f t="shared" si="12"/>
        <v>0</v>
      </c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</row>
    <row r="62" spans="2:54"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5"/>
      <c r="O62" s="145"/>
      <c r="P62" s="145"/>
      <c r="Q62" s="145"/>
      <c r="R62" s="145"/>
      <c r="S62" s="145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</row>
    <row r="63" spans="2:54" ht="11.25" thickBot="1">
      <c r="B63" s="148" t="s">
        <v>303</v>
      </c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7">
        <f t="shared" ref="N63:S63" si="13">N52+N56+N61</f>
        <v>-1.75</v>
      </c>
      <c r="O63" s="147">
        <f t="shared" si="13"/>
        <v>-2.2749999999999999</v>
      </c>
      <c r="P63" s="147">
        <f t="shared" si="13"/>
        <v>-2.2749999999999999</v>
      </c>
      <c r="Q63" s="147">
        <f t="shared" si="13"/>
        <v>-2.2749999999999999</v>
      </c>
      <c r="R63" s="147">
        <f t="shared" si="13"/>
        <v>2.5625</v>
      </c>
      <c r="S63" s="147">
        <f t="shared" si="13"/>
        <v>-2.5512500000000005</v>
      </c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</row>
    <row r="64" spans="2:54" ht="11.25" thickTop="1"/>
  </sheetData>
  <mergeCells count="17">
    <mergeCell ref="V46:AM46"/>
    <mergeCell ref="B7:S7"/>
    <mergeCell ref="B3:K3"/>
    <mergeCell ref="AZ51:AZ52"/>
    <mergeCell ref="BA51:BA52"/>
    <mergeCell ref="BB51:BB52"/>
    <mergeCell ref="AY51:AY52"/>
    <mergeCell ref="AX51:AX52"/>
    <mergeCell ref="B4:C4"/>
    <mergeCell ref="D4:E4"/>
    <mergeCell ref="F4:G4"/>
    <mergeCell ref="H4:I4"/>
    <mergeCell ref="J4:K4"/>
    <mergeCell ref="V7:AM7"/>
    <mergeCell ref="B26:S26"/>
    <mergeCell ref="V27:AM27"/>
    <mergeCell ref="B45:S45"/>
  </mergeCells>
  <dataValidations count="2">
    <dataValidation type="whole" showDropDown="1" showErrorMessage="1" errorTitle="0 Cell Link" error="The value in a 0 cell link must be a whole number within the control's lookup range rows." sqref="AU40">
      <formula1>1</formula1>
      <formula2>ROWS(LU_Dashboard_Selected_Period )</formula2>
    </dataValidation>
    <dataValidation type="whole" showDropDown="1" showErrorMessage="1" errorTitle="0 Cell Link" error="The value in a 0 cell link must be a whole number within the control's lookup range rows." sqref="AU49">
      <formula1>1</formula1>
      <formula2>ROWS(LU_Dashboard_Selected_Period )</formula2>
    </dataValidation>
  </dataValidations>
  <hyperlinks>
    <hyperlink ref="B3" location="HL_Home" tooltip="Go to Table of Contents" display="HL_Home"/>
    <hyperlink ref="A4" location="$B$5" tooltip="Go to Top of Sheet" display="$B$5"/>
    <hyperlink ref="D4" location="HL_Sheet_Main_39" tooltip="Go to Next Sheet" display="HL_Sheet_Main_39"/>
    <hyperlink ref="B4" location="HL_Sheet_Main_20" tooltip="Go to Previous Sheet" display="HL_Sheet_Main_20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8" orientation="landscape" horizontalDpi="300" verticalDpi="300" r:id="rId1"/>
  <headerFooter>
    <oddFooter>&amp;L&amp;F
&amp;A
Printed: &amp;T on &amp;D&amp;CPage &amp;P of &amp;N&amp;R&amp;G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49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49</v>
      </c>
    </row>
    <row r="2" spans="1:17" ht="15">
      <c r="B2" s="2" t="str">
        <f>Model_Name</f>
        <v>SMA 13. Multiple Workbooks - Practical Training Exercise 1 (Alert in Ordinary Equity - Outputs)</v>
      </c>
    </row>
    <row r="3" spans="1:17">
      <c r="B3" s="230" t="s">
        <v>50</v>
      </c>
      <c r="C3" s="230"/>
      <c r="D3" s="230"/>
      <c r="E3" s="230"/>
      <c r="F3" s="230"/>
      <c r="G3" s="230"/>
      <c r="H3" s="230"/>
      <c r="I3" s="230"/>
      <c r="J3" s="228"/>
    </row>
    <row r="6" spans="1:17" s="18" customFormat="1" ht="12.75">
      <c r="A6" s="103" t="s">
        <v>51</v>
      </c>
      <c r="B6" s="209" t="s">
        <v>52</v>
      </c>
      <c r="Q6" s="210"/>
    </row>
    <row r="8" spans="1:17" ht="19.149999999999999" customHeight="1">
      <c r="B8" s="237">
        <v>1</v>
      </c>
      <c r="C8" s="237"/>
      <c r="D8" s="233" t="str">
        <f>Overview_SC!C9</f>
        <v>Overview</v>
      </c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</row>
    <row r="9" spans="1:17" ht="11.25">
      <c r="D9" s="234" t="s">
        <v>110</v>
      </c>
      <c r="E9" s="234"/>
      <c r="F9" s="235" t="str">
        <f>Notes_SSC!C9</f>
        <v>Notes</v>
      </c>
      <c r="G9" s="235"/>
      <c r="H9" s="235"/>
      <c r="I9" s="235"/>
      <c r="J9" s="235"/>
      <c r="K9" s="235"/>
      <c r="L9" s="235"/>
      <c r="M9" s="235"/>
      <c r="N9" s="235"/>
      <c r="O9" s="235"/>
      <c r="P9" s="235"/>
    </row>
    <row r="10" spans="1:17" outlineLevel="1">
      <c r="F10" s="236" t="s">
        <v>111</v>
      </c>
      <c r="G10" s="236"/>
      <c r="H10" s="231" t="str">
        <f>Linked_Workbooks_Diagram_MS!B1</f>
        <v>Linked Workbooks Diagram</v>
      </c>
      <c r="I10" s="231"/>
      <c r="J10" s="231"/>
      <c r="K10" s="231"/>
      <c r="L10" s="231"/>
      <c r="M10" s="231"/>
      <c r="N10" s="231"/>
      <c r="O10" s="231"/>
      <c r="P10" s="231"/>
    </row>
    <row r="11" spans="1:17" ht="19.149999999999999" customHeight="1">
      <c r="B11" s="237">
        <v>2</v>
      </c>
      <c r="C11" s="237"/>
      <c r="D11" s="233" t="str">
        <f>Assumptions_SC!C9</f>
        <v>Assumptions</v>
      </c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</row>
    <row r="12" spans="1:17" ht="11.25">
      <c r="D12" s="234" t="s">
        <v>374</v>
      </c>
      <c r="E12" s="234"/>
      <c r="F12" s="235" t="str">
        <f>TS_Ass_SSC!C9</f>
        <v>Time Series Assumptions</v>
      </c>
      <c r="G12" s="235"/>
      <c r="H12" s="235"/>
      <c r="I12" s="235"/>
      <c r="J12" s="235"/>
      <c r="K12" s="235"/>
      <c r="L12" s="235"/>
      <c r="M12" s="235"/>
      <c r="N12" s="235"/>
      <c r="O12" s="235"/>
      <c r="P12" s="235"/>
    </row>
    <row r="13" spans="1:17" outlineLevel="1">
      <c r="F13" s="236" t="s">
        <v>111</v>
      </c>
      <c r="G13" s="236"/>
      <c r="H13" s="231" t="str">
        <f>TS_BA!B1</f>
        <v>Time Series Assumptions</v>
      </c>
      <c r="I13" s="231"/>
      <c r="J13" s="231"/>
      <c r="K13" s="231"/>
      <c r="L13" s="231"/>
      <c r="M13" s="231"/>
      <c r="N13" s="231"/>
      <c r="O13" s="231"/>
      <c r="P13" s="231"/>
    </row>
    <row r="14" spans="1:17" ht="11.25">
      <c r="D14" s="234" t="s">
        <v>376</v>
      </c>
      <c r="E14" s="234"/>
      <c r="F14" s="235" t="str">
        <f>Fcast_Ass_SSC!C9</f>
        <v>Forecast Assumptions</v>
      </c>
      <c r="G14" s="235"/>
      <c r="H14" s="235"/>
      <c r="I14" s="235"/>
      <c r="J14" s="235"/>
      <c r="K14" s="235"/>
      <c r="L14" s="235"/>
      <c r="M14" s="235"/>
      <c r="N14" s="235"/>
      <c r="O14" s="235"/>
      <c r="P14" s="235"/>
    </row>
    <row r="15" spans="1:17" outlineLevel="1">
      <c r="F15" s="236" t="s">
        <v>111</v>
      </c>
      <c r="G15" s="236"/>
      <c r="H15" s="231" t="str">
        <f>Fcast_TA!B1</f>
        <v>Assumptions</v>
      </c>
      <c r="I15" s="231"/>
      <c r="J15" s="231"/>
      <c r="K15" s="231"/>
      <c r="L15" s="231"/>
      <c r="M15" s="231"/>
      <c r="N15" s="231"/>
      <c r="O15" s="231"/>
      <c r="P15" s="231"/>
    </row>
    <row r="16" spans="1:17" outlineLevel="1">
      <c r="H16" s="102" t="s">
        <v>117</v>
      </c>
      <c r="I16" s="232" t="str">
        <f>TOC_Hdg_3</f>
        <v>Working Capital - Assumptions</v>
      </c>
      <c r="J16" s="232"/>
      <c r="K16" s="232"/>
      <c r="L16" s="232"/>
      <c r="M16" s="232"/>
      <c r="N16" s="232"/>
      <c r="O16" s="232"/>
      <c r="P16" s="232"/>
    </row>
    <row r="17" spans="2:16" outlineLevel="1">
      <c r="H17" s="102" t="s">
        <v>117</v>
      </c>
      <c r="I17" s="232" t="str">
        <f>TOC_Hdg_5</f>
        <v>Assets - Assumptions</v>
      </c>
      <c r="J17" s="232"/>
      <c r="K17" s="232"/>
      <c r="L17" s="232"/>
      <c r="M17" s="232"/>
      <c r="N17" s="232"/>
      <c r="O17" s="232"/>
      <c r="P17" s="232"/>
    </row>
    <row r="18" spans="2:16" outlineLevel="1">
      <c r="H18" s="102" t="s">
        <v>117</v>
      </c>
      <c r="I18" s="232" t="str">
        <f>TOC_Hdg_11</f>
        <v>Capital - Assumptions</v>
      </c>
      <c r="J18" s="232"/>
      <c r="K18" s="232"/>
      <c r="L18" s="232"/>
      <c r="M18" s="232"/>
      <c r="N18" s="232"/>
      <c r="O18" s="232"/>
      <c r="P18" s="232"/>
    </row>
    <row r="19" spans="2:16" outlineLevel="1">
      <c r="H19" s="102" t="s">
        <v>117</v>
      </c>
      <c r="I19" s="232" t="str">
        <f>TOC_Hdg_12</f>
        <v>Taxation - Assumptions</v>
      </c>
      <c r="J19" s="232"/>
      <c r="K19" s="232"/>
      <c r="L19" s="232"/>
      <c r="M19" s="232"/>
      <c r="N19" s="232"/>
      <c r="O19" s="232"/>
      <c r="P19" s="232"/>
    </row>
    <row r="20" spans="2:16" outlineLevel="1">
      <c r="H20" s="102" t="s">
        <v>117</v>
      </c>
      <c r="I20" s="232" t="str">
        <f>TOC_Hdg_13</f>
        <v>Other Balance Sheet Items - Assumptions</v>
      </c>
      <c r="J20" s="232"/>
      <c r="K20" s="232"/>
      <c r="L20" s="232"/>
      <c r="M20" s="232"/>
      <c r="N20" s="232"/>
      <c r="O20" s="232"/>
      <c r="P20" s="232"/>
    </row>
    <row r="21" spans="2:16" ht="19.149999999999999" customHeight="1">
      <c r="B21" s="237">
        <v>3</v>
      </c>
      <c r="C21" s="237"/>
      <c r="D21" s="233" t="str">
        <f>Base_OP_SC!C9</f>
        <v>Outputs</v>
      </c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</row>
    <row r="22" spans="2:16" ht="11.25">
      <c r="D22" s="234" t="s">
        <v>378</v>
      </c>
      <c r="E22" s="234"/>
      <c r="F22" s="235" t="str">
        <f>Fcast_OP_SSC!C9</f>
        <v>Forecast Outputs</v>
      </c>
      <c r="G22" s="235"/>
      <c r="H22" s="235"/>
      <c r="I22" s="235"/>
      <c r="J22" s="235"/>
      <c r="K22" s="235"/>
      <c r="L22" s="235"/>
      <c r="M22" s="235"/>
      <c r="N22" s="235"/>
      <c r="O22" s="235"/>
      <c r="P22" s="235"/>
    </row>
    <row r="23" spans="2:16" outlineLevel="1">
      <c r="F23" s="236" t="s">
        <v>111</v>
      </c>
      <c r="G23" s="236"/>
      <c r="H23" s="231" t="str">
        <f>Fcast_TO!B1</f>
        <v>Outputs</v>
      </c>
      <c r="I23" s="231"/>
      <c r="J23" s="231"/>
      <c r="K23" s="231"/>
      <c r="L23" s="231"/>
      <c r="M23" s="231"/>
      <c r="N23" s="231"/>
      <c r="O23" s="231"/>
      <c r="P23" s="231"/>
    </row>
    <row r="24" spans="2:16" outlineLevel="1">
      <c r="H24" s="102" t="s">
        <v>117</v>
      </c>
      <c r="I24" s="232" t="str">
        <f>TOC_Hdg_21</f>
        <v>Operational - Outputs</v>
      </c>
      <c r="J24" s="232"/>
      <c r="K24" s="232"/>
      <c r="L24" s="232"/>
      <c r="M24" s="232"/>
      <c r="N24" s="232"/>
      <c r="O24" s="232"/>
      <c r="P24" s="232"/>
    </row>
    <row r="25" spans="2:16" outlineLevel="1">
      <c r="H25" s="102" t="s">
        <v>117</v>
      </c>
      <c r="I25" s="232" t="str">
        <f>TOC_Hdg_1</f>
        <v>Working Capital - Outputs</v>
      </c>
      <c r="J25" s="232"/>
      <c r="K25" s="232"/>
      <c r="L25" s="232"/>
      <c r="M25" s="232"/>
      <c r="N25" s="232"/>
      <c r="O25" s="232"/>
      <c r="P25" s="232"/>
    </row>
    <row r="26" spans="2:16" outlineLevel="1">
      <c r="H26" s="102" t="s">
        <v>117</v>
      </c>
      <c r="I26" s="232" t="str">
        <f>TOC_Hdg_2</f>
        <v>Assets - Outputs</v>
      </c>
      <c r="J26" s="232"/>
      <c r="K26" s="232"/>
      <c r="L26" s="232"/>
      <c r="M26" s="232"/>
      <c r="N26" s="232"/>
      <c r="O26" s="232"/>
      <c r="P26" s="232"/>
    </row>
    <row r="27" spans="2:16" outlineLevel="1">
      <c r="H27" s="102" t="s">
        <v>117</v>
      </c>
      <c r="I27" s="232" t="str">
        <f>TOC_Hdg_15</f>
        <v>Capital - Outputs</v>
      </c>
      <c r="J27" s="232"/>
      <c r="K27" s="232"/>
      <c r="L27" s="232"/>
      <c r="M27" s="232"/>
      <c r="N27" s="232"/>
      <c r="O27" s="232"/>
      <c r="P27" s="232"/>
    </row>
    <row r="28" spans="2:16" outlineLevel="1">
      <c r="H28" s="102" t="s">
        <v>117</v>
      </c>
      <c r="I28" s="232" t="str">
        <f>TOC_Hdg_32</f>
        <v>Taxation - Output Summary</v>
      </c>
      <c r="J28" s="232"/>
      <c r="K28" s="232"/>
      <c r="L28" s="232"/>
      <c r="M28" s="232"/>
      <c r="N28" s="232"/>
      <c r="O28" s="232"/>
      <c r="P28" s="232"/>
    </row>
    <row r="29" spans="2:16" outlineLevel="1">
      <c r="H29" s="102" t="s">
        <v>117</v>
      </c>
      <c r="I29" s="232" t="str">
        <f>TOC_Hdg_16</f>
        <v>Other Balance Sheet Items - Outputs</v>
      </c>
      <c r="J29" s="232"/>
      <c r="K29" s="232"/>
      <c r="L29" s="232"/>
      <c r="M29" s="232"/>
      <c r="N29" s="232"/>
      <c r="O29" s="232"/>
      <c r="P29" s="232"/>
    </row>
    <row r="30" spans="2:16" ht="11.25">
      <c r="D30" s="234" t="s">
        <v>380</v>
      </c>
      <c r="E30" s="234"/>
      <c r="F30" s="235" t="str">
        <f>FS_OP_SSC!C9</f>
        <v>Financial Statements</v>
      </c>
      <c r="G30" s="235"/>
      <c r="H30" s="235"/>
      <c r="I30" s="235"/>
      <c r="J30" s="235"/>
      <c r="K30" s="235"/>
      <c r="L30" s="235"/>
      <c r="M30" s="235"/>
      <c r="N30" s="235"/>
      <c r="O30" s="235"/>
      <c r="P30" s="235"/>
    </row>
    <row r="31" spans="2:16" outlineLevel="1">
      <c r="F31" s="236" t="s">
        <v>111</v>
      </c>
      <c r="G31" s="236"/>
      <c r="H31" s="231" t="str">
        <f>IS_TO!B1</f>
        <v>Income Statement</v>
      </c>
      <c r="I31" s="231"/>
      <c r="J31" s="231"/>
      <c r="K31" s="231"/>
      <c r="L31" s="231"/>
      <c r="M31" s="231"/>
      <c r="N31" s="231"/>
      <c r="O31" s="231"/>
      <c r="P31" s="231"/>
    </row>
    <row r="32" spans="2:16" outlineLevel="1">
      <c r="F32" s="236" t="s">
        <v>112</v>
      </c>
      <c r="G32" s="236"/>
      <c r="H32" s="231" t="str">
        <f>BS_TO!B1</f>
        <v>Balance Sheet</v>
      </c>
      <c r="I32" s="231"/>
      <c r="J32" s="231"/>
      <c r="K32" s="231"/>
      <c r="L32" s="231"/>
      <c r="M32" s="231"/>
      <c r="N32" s="231"/>
      <c r="O32" s="231"/>
      <c r="P32" s="231"/>
    </row>
    <row r="33" spans="2:16" outlineLevel="1">
      <c r="F33" s="236" t="s">
        <v>113</v>
      </c>
      <c r="G33" s="236"/>
      <c r="H33" s="231" t="str">
        <f>CFS_TO!B1</f>
        <v>Cash Flow Statement</v>
      </c>
      <c r="I33" s="231"/>
      <c r="J33" s="231"/>
      <c r="K33" s="231"/>
      <c r="L33" s="231"/>
      <c r="M33" s="231"/>
      <c r="N33" s="231"/>
      <c r="O33" s="231"/>
      <c r="P33" s="231"/>
    </row>
    <row r="34" spans="2:16" outlineLevel="1">
      <c r="H34" s="102" t="s">
        <v>117</v>
      </c>
      <c r="I34" s="232" t="str">
        <f>TOC_Hdg_35</f>
        <v>Direct Cash Flow Statement</v>
      </c>
      <c r="J34" s="232"/>
      <c r="K34" s="232"/>
      <c r="L34" s="232"/>
      <c r="M34" s="232"/>
      <c r="N34" s="232"/>
      <c r="O34" s="232"/>
      <c r="P34" s="232"/>
    </row>
    <row r="35" spans="2:16" outlineLevel="1">
      <c r="H35" s="102" t="s">
        <v>117</v>
      </c>
      <c r="I35" s="232" t="str">
        <f>TOC_Hdg_36</f>
        <v>Indirect Cash Flow Statement</v>
      </c>
      <c r="J35" s="232"/>
      <c r="K35" s="232"/>
      <c r="L35" s="232"/>
      <c r="M35" s="232"/>
      <c r="N35" s="232"/>
      <c r="O35" s="232"/>
      <c r="P35" s="232"/>
    </row>
    <row r="36" spans="2:16" outlineLevel="1">
      <c r="H36" s="102" t="s">
        <v>117</v>
      </c>
      <c r="I36" s="232" t="str">
        <f>TOC_Hdg_14</f>
        <v>Capital Providers - Cash Flow Reconciliation</v>
      </c>
      <c r="J36" s="232"/>
      <c r="K36" s="232"/>
      <c r="L36" s="232"/>
      <c r="M36" s="232"/>
      <c r="N36" s="232"/>
      <c r="O36" s="232"/>
      <c r="P36" s="232"/>
    </row>
    <row r="37" spans="2:16" ht="11.25">
      <c r="D37" s="234" t="s">
        <v>382</v>
      </c>
      <c r="E37" s="234"/>
      <c r="F37" s="235" t="str">
        <f>Dashboards_SSC!C9</f>
        <v>Dashboard Outputs</v>
      </c>
      <c r="G37" s="235"/>
      <c r="H37" s="235"/>
      <c r="I37" s="235"/>
      <c r="J37" s="235"/>
      <c r="K37" s="235"/>
      <c r="L37" s="235"/>
      <c r="M37" s="235"/>
      <c r="N37" s="235"/>
      <c r="O37" s="235"/>
      <c r="P37" s="235"/>
    </row>
    <row r="38" spans="2:16" outlineLevel="1">
      <c r="F38" s="236" t="s">
        <v>111</v>
      </c>
      <c r="G38" s="236"/>
      <c r="H38" s="231" t="str">
        <f>BS_Sum_P_MS!B1</f>
        <v>Business Planning Summary</v>
      </c>
      <c r="I38" s="231"/>
      <c r="J38" s="231"/>
      <c r="K38" s="231"/>
      <c r="L38" s="231"/>
      <c r="M38" s="231"/>
      <c r="N38" s="231"/>
      <c r="O38" s="231"/>
      <c r="P38" s="231"/>
    </row>
    <row r="39" spans="2:16" ht="19.149999999999999" customHeight="1">
      <c r="B39" s="237">
        <v>4</v>
      </c>
      <c r="C39" s="237"/>
      <c r="D39" s="233" t="str">
        <f>Appendices_SC!C9</f>
        <v>Appendices</v>
      </c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</row>
    <row r="40" spans="2:16" ht="11.25">
      <c r="D40" s="234" t="s">
        <v>384</v>
      </c>
      <c r="E40" s="234"/>
      <c r="F40" s="235" t="str">
        <f>Model_Imports_SSC!C9</f>
        <v>Model Imports</v>
      </c>
      <c r="G40" s="235"/>
      <c r="H40" s="235"/>
      <c r="I40" s="235"/>
      <c r="J40" s="235"/>
      <c r="K40" s="235"/>
      <c r="L40" s="235"/>
      <c r="M40" s="235"/>
      <c r="N40" s="235"/>
      <c r="O40" s="235"/>
      <c r="P40" s="235"/>
    </row>
    <row r="41" spans="2:16" ht="11.25">
      <c r="D41" s="234" t="s">
        <v>386</v>
      </c>
      <c r="E41" s="234"/>
      <c r="F41" s="235" t="str">
        <f>Checks_SSC!C9</f>
        <v>Checks</v>
      </c>
      <c r="G41" s="235"/>
      <c r="H41" s="235"/>
      <c r="I41" s="235"/>
      <c r="J41" s="235"/>
      <c r="K41" s="235"/>
      <c r="L41" s="235"/>
      <c r="M41" s="235"/>
      <c r="N41" s="235"/>
      <c r="O41" s="235"/>
      <c r="P41" s="235"/>
    </row>
    <row r="42" spans="2:16" outlineLevel="1">
      <c r="F42" s="236" t="s">
        <v>111</v>
      </c>
      <c r="G42" s="236"/>
      <c r="H42" s="231" t="str">
        <f>Checks_BO!B1</f>
        <v>Checks</v>
      </c>
      <c r="I42" s="231"/>
      <c r="J42" s="231"/>
      <c r="K42" s="231"/>
      <c r="L42" s="231"/>
      <c r="M42" s="231"/>
      <c r="N42" s="231"/>
      <c r="O42" s="231"/>
      <c r="P42" s="231"/>
    </row>
    <row r="43" spans="2:16" outlineLevel="1">
      <c r="H43" s="102" t="s">
        <v>117</v>
      </c>
      <c r="I43" s="232" t="str">
        <f>TOC_Hdg_6</f>
        <v>Error Checks</v>
      </c>
      <c r="J43" s="232"/>
      <c r="K43" s="232"/>
      <c r="L43" s="232"/>
      <c r="M43" s="232"/>
      <c r="N43" s="232"/>
      <c r="O43" s="232"/>
      <c r="P43" s="232"/>
    </row>
    <row r="44" spans="2:16" outlineLevel="1">
      <c r="H44" s="102" t="s">
        <v>117</v>
      </c>
      <c r="I44" s="232" t="str">
        <f>TOC_Hdg_7</f>
        <v>Sensitivity Checks</v>
      </c>
      <c r="J44" s="232"/>
      <c r="K44" s="232"/>
      <c r="L44" s="232"/>
      <c r="M44" s="232"/>
      <c r="N44" s="232"/>
      <c r="O44" s="232"/>
      <c r="P44" s="232"/>
    </row>
    <row r="45" spans="2:16" outlineLevel="1">
      <c r="H45" s="102" t="s">
        <v>117</v>
      </c>
      <c r="I45" s="232" t="str">
        <f>TOC_Hdg_8</f>
        <v>Alert Checks</v>
      </c>
      <c r="J45" s="232"/>
      <c r="K45" s="232"/>
      <c r="L45" s="232"/>
      <c r="M45" s="232"/>
      <c r="N45" s="232"/>
      <c r="O45" s="232"/>
      <c r="P45" s="232"/>
    </row>
    <row r="46" spans="2:16" ht="11.25">
      <c r="D46" s="234" t="s">
        <v>405</v>
      </c>
      <c r="E46" s="234"/>
      <c r="F46" s="235" t="str">
        <f>LU_SSC!C9</f>
        <v>Lookup Tables</v>
      </c>
      <c r="G46" s="235"/>
      <c r="H46" s="235"/>
      <c r="I46" s="235"/>
      <c r="J46" s="235"/>
      <c r="K46" s="235"/>
      <c r="L46" s="235"/>
      <c r="M46" s="235"/>
      <c r="N46" s="235"/>
      <c r="O46" s="235"/>
      <c r="P46" s="235"/>
    </row>
    <row r="47" spans="2:16" outlineLevel="1">
      <c r="F47" s="236" t="s">
        <v>111</v>
      </c>
      <c r="G47" s="236"/>
      <c r="H47" s="231" t="str">
        <f>TS_LU!B1</f>
        <v>Time Series Lookup Tables</v>
      </c>
      <c r="I47" s="231"/>
      <c r="J47" s="231"/>
      <c r="K47" s="231"/>
      <c r="L47" s="231"/>
      <c r="M47" s="231"/>
      <c r="N47" s="231"/>
      <c r="O47" s="231"/>
      <c r="P47" s="231"/>
    </row>
    <row r="48" spans="2:16" outlineLevel="1">
      <c r="F48" s="236" t="s">
        <v>112</v>
      </c>
      <c r="G48" s="236"/>
      <c r="H48" s="231" t="str">
        <f>Capital_LU!B1</f>
        <v>Capital - Lookup Tables</v>
      </c>
      <c r="I48" s="231"/>
      <c r="J48" s="231"/>
      <c r="K48" s="231"/>
      <c r="L48" s="231"/>
      <c r="M48" s="231"/>
      <c r="N48" s="231"/>
      <c r="O48" s="231"/>
      <c r="P48" s="231"/>
    </row>
    <row r="49" spans="6:16" outlineLevel="1">
      <c r="F49" s="236" t="s">
        <v>113</v>
      </c>
      <c r="G49" s="236"/>
      <c r="H49" s="231" t="str">
        <f>Dashboards_LU!B1</f>
        <v>Dashboards - Lookup Tables</v>
      </c>
      <c r="I49" s="231"/>
      <c r="J49" s="231"/>
      <c r="K49" s="231"/>
      <c r="L49" s="231"/>
      <c r="M49" s="231"/>
      <c r="N49" s="231"/>
      <c r="O49" s="231"/>
      <c r="P49" s="231"/>
    </row>
  </sheetData>
  <mergeCells count="68">
    <mergeCell ref="H47:P47"/>
    <mergeCell ref="B11:C11"/>
    <mergeCell ref="D11:P11"/>
    <mergeCell ref="D12:E12"/>
    <mergeCell ref="F12:P12"/>
    <mergeCell ref="F13:G13"/>
    <mergeCell ref="H13:P13"/>
    <mergeCell ref="F38:G38"/>
    <mergeCell ref="H38:P38"/>
    <mergeCell ref="B39:C39"/>
    <mergeCell ref="D39:P39"/>
    <mergeCell ref="I24:P24"/>
    <mergeCell ref="I19:P19"/>
    <mergeCell ref="I20:P20"/>
    <mergeCell ref="D14:E14"/>
    <mergeCell ref="F14:P14"/>
    <mergeCell ref="F48:G48"/>
    <mergeCell ref="H48:P48"/>
    <mergeCell ref="F49:G49"/>
    <mergeCell ref="H49:P49"/>
    <mergeCell ref="D40:E40"/>
    <mergeCell ref="F40:P40"/>
    <mergeCell ref="D41:E41"/>
    <mergeCell ref="F41:P41"/>
    <mergeCell ref="F42:G42"/>
    <mergeCell ref="H42:P42"/>
    <mergeCell ref="I44:P44"/>
    <mergeCell ref="I45:P45"/>
    <mergeCell ref="D46:E46"/>
    <mergeCell ref="F46:P46"/>
    <mergeCell ref="I43:P43"/>
    <mergeCell ref="F47:G47"/>
    <mergeCell ref="B21:C21"/>
    <mergeCell ref="F31:G31"/>
    <mergeCell ref="H31:P31"/>
    <mergeCell ref="I28:P28"/>
    <mergeCell ref="I29:P29"/>
    <mergeCell ref="D37:E37"/>
    <mergeCell ref="F37:P37"/>
    <mergeCell ref="D30:E30"/>
    <mergeCell ref="F30:P30"/>
    <mergeCell ref="F32:G32"/>
    <mergeCell ref="H32:P32"/>
    <mergeCell ref="F33:G33"/>
    <mergeCell ref="H33:P33"/>
    <mergeCell ref="I34:P34"/>
    <mergeCell ref="I35:P35"/>
    <mergeCell ref="I36:P36"/>
    <mergeCell ref="I27:P27"/>
    <mergeCell ref="D21:P21"/>
    <mergeCell ref="D22:E22"/>
    <mergeCell ref="F22:P22"/>
    <mergeCell ref="F23:G23"/>
    <mergeCell ref="H23:P23"/>
    <mergeCell ref="I25:P25"/>
    <mergeCell ref="I26:P26"/>
    <mergeCell ref="B3:I3"/>
    <mergeCell ref="H15:P15"/>
    <mergeCell ref="I16:P16"/>
    <mergeCell ref="I17:P17"/>
    <mergeCell ref="I18:P18"/>
    <mergeCell ref="F15:G15"/>
    <mergeCell ref="B8:C8"/>
    <mergeCell ref="D8:P8"/>
    <mergeCell ref="D9:E9"/>
    <mergeCell ref="F9:P9"/>
    <mergeCell ref="F10:G10"/>
    <mergeCell ref="H10:P10"/>
  </mergeCells>
  <hyperlinks>
    <hyperlink ref="B8" location="HL_Sheet_Main_2" tooltip="Go to Overview" display="HL_Sheet_Main_2"/>
    <hyperlink ref="D8" location="HL_Sheet_Main_2" tooltip="Go to Overview" display="HL_Sheet_Main_2"/>
    <hyperlink ref="D9" location="HL_Sheet_Main_3" tooltip="Go to Notes" display="HL_Sheet_Main_3"/>
    <hyperlink ref="F9" location="HL_Sheet_Main_3" tooltip="Go to Notes" display="HL_Sheet_Main_3"/>
    <hyperlink ref="F10" location="HL_Sheet_Main_21" tooltip="Go to Linked Workbooks Diagram" display="HL_Sheet_Main_21"/>
    <hyperlink ref="H10" location="HL_Sheet_Main_21" tooltip="Go to Linked Workbooks Diagram" display="HL_Sheet_Main_21"/>
    <hyperlink ref="B11" location="HL_Sheet_Main_11" tooltip="Go to Assumptions" display="HL_Sheet_Main_11"/>
    <hyperlink ref="D11" location="HL_Sheet_Main_11" tooltip="Go to Assumptions" display="HL_Sheet_Main_11"/>
    <hyperlink ref="D12" location="HL_Sheet_Main_4" tooltip="Go to Time Series Assumptions" display="HL_Sheet_Main_4"/>
    <hyperlink ref="F12" location="HL_Sheet_Main_4" tooltip="Go to Time Series Assumptions" display="HL_Sheet_Main_4"/>
    <hyperlink ref="F13" location="HL_Sheet_Main_10" tooltip="Go to Time Series Assumptions" display="HL_Sheet_Main_10"/>
    <hyperlink ref="H13" location="HL_Sheet_Main_10" tooltip="Go to Time Series Assumptions" display="HL_Sheet_Main_10"/>
    <hyperlink ref="D14" location="HL_Sheet_Main_5" tooltip="Go to Forecast Assumptions" display="HL_Sheet_Main_5"/>
    <hyperlink ref="F14" location="HL_Sheet_Main_5" tooltip="Go to Forecast Assumptions" display="HL_Sheet_Main_5"/>
    <hyperlink ref="F15" location="HL_Sheet_Main_12" tooltip="Go to Assumptions" display="HL_Sheet_Main_12"/>
    <hyperlink ref="H15" location="HL_Sheet_Main_12" tooltip="Go to Assumptions" display="HL_Sheet_Main_12"/>
    <hyperlink ref="H16" location="HL_TOC_3" tooltip="Go to Working Capital - Assumptions" display="HL_TOC_3"/>
    <hyperlink ref="I16" location="HL_TOC_3" tooltip="Go to Working Capital - Assumptions" display="HL_TOC_3"/>
    <hyperlink ref="H17" location="HL_TOC_5" tooltip="Go to Assets - Assumptions" display="HL_TOC_5"/>
    <hyperlink ref="I17" location="HL_TOC_5" tooltip="Go to Assets - Assumptions" display="HL_TOC_5"/>
    <hyperlink ref="H18" location="HL_TOC_11" tooltip="Go to Capital - Assumptions" display="HL_TOC_11"/>
    <hyperlink ref="I18" location="HL_TOC_11" tooltip="Go to Capital - Assumptions" display="HL_TOC_11"/>
    <hyperlink ref="H19" location="HL_TOC_12" tooltip="Go to Taxation - Assumptions" display="HL_TOC_12"/>
    <hyperlink ref="I19" location="HL_TOC_12" tooltip="Go to Taxation - Assumptions" display="HL_TOC_12"/>
    <hyperlink ref="H20" location="HL_TOC_13" tooltip="Go to Other Balance Sheet Items - Assumptions" display="HL_TOC_13"/>
    <hyperlink ref="I20" location="HL_TOC_13" tooltip="Go to Other Balance Sheet Items - Assumptions" display="HL_TOC_13"/>
    <hyperlink ref="B21" location="HL_Sheet_Main_16" tooltip="Go to Outputs" display="HL_Sheet_Main_16"/>
    <hyperlink ref="D21" location="HL_Sheet_Main_16" tooltip="Go to Outputs" display="HL_Sheet_Main_16"/>
    <hyperlink ref="D22" location="HL_Sheet_Main_15" tooltip="Go to Forecast Outputs" display="HL_Sheet_Main_15"/>
    <hyperlink ref="F22" location="HL_Sheet_Main_15" tooltip="Go to Forecast Outputs" display="HL_Sheet_Main_15"/>
    <hyperlink ref="F23" location="HL_Sheet_Main_17" tooltip="Go to Outputs" display="HL_Sheet_Main_17"/>
    <hyperlink ref="H23" location="HL_Sheet_Main_17" tooltip="Go to Outputs" display="HL_Sheet_Main_17"/>
    <hyperlink ref="H24" location="HL_TOC_21" tooltip="Go to Operational - Outputs" display="HL_TOC_21"/>
    <hyperlink ref="I24" location="HL_TOC_21" tooltip="Go to Operational - Outputs" display="HL_TOC_21"/>
    <hyperlink ref="H25" location="HL_TOC_1" tooltip="Go to Working Capital - Outputs" display="HL_TOC_1"/>
    <hyperlink ref="I25" location="HL_TOC_1" tooltip="Go to Working Capital - Outputs" display="HL_TOC_1"/>
    <hyperlink ref="H26" location="HL_TOC_2" tooltip="Go to Assets - Outputs" display="HL_TOC_2"/>
    <hyperlink ref="I26" location="HL_TOC_2" tooltip="Go to Assets - Outputs" display="HL_TOC_2"/>
    <hyperlink ref="H27" location="HL_TOC_15" tooltip="Go to Capital - Outputs" display="HL_TOC_15"/>
    <hyperlink ref="I27" location="HL_TOC_15" tooltip="Go to Capital - Outputs" display="HL_TOC_15"/>
    <hyperlink ref="H28" location="HL_TOC_32" tooltip="Go to Taxation - Output Summary" display="HL_TOC_32"/>
    <hyperlink ref="I28" location="HL_TOC_32" tooltip="Go to Taxation - Output Summary" display="HL_TOC_32"/>
    <hyperlink ref="H29" location="HL_TOC_16" tooltip="Go to Other Balance Sheet Items - Outputs" display="HL_TOC_16"/>
    <hyperlink ref="I29" location="HL_TOC_16" tooltip="Go to Other Balance Sheet Items - Outputs" display="HL_TOC_16"/>
    <hyperlink ref="D30" location="HL_Sheet_Main_18" tooltip="Go to Financial Statements" display="HL_Sheet_Main_18"/>
    <hyperlink ref="F30" location="HL_Sheet_Main_18" tooltip="Go to Financial Statements" display="HL_Sheet_Main_18"/>
    <hyperlink ref="F31" location="HL_Sheet_Main_35" tooltip="Go to Income Statement" display="HL_Sheet_Main_35"/>
    <hyperlink ref="H31" location="HL_Sheet_Main_35" tooltip="Go to Income Statement" display="HL_Sheet_Main_35"/>
    <hyperlink ref="F32" location="HL_Sheet_Main_36" tooltip="Go to Balance Sheet" display="HL_Sheet_Main_36"/>
    <hyperlink ref="H32" location="HL_Sheet_Main_36" tooltip="Go to Balance Sheet" display="HL_Sheet_Main_36"/>
    <hyperlink ref="F33" location="HL_Sheet_Main_37" tooltip="Go to Cash Flow Statement" display="HL_Sheet_Main_37"/>
    <hyperlink ref="H33" location="HL_Sheet_Main_37" tooltip="Go to Cash Flow Statement" display="HL_Sheet_Main_37"/>
    <hyperlink ref="H34" location="HL_TOC_35" tooltip="Go to Direct Cash Flow Statement" display="HL_TOC_35"/>
    <hyperlink ref="I34" location="HL_TOC_35" tooltip="Go to Direct Cash Flow Statement" display="HL_TOC_35"/>
    <hyperlink ref="H35" location="HL_TOC_36" tooltip="Go to Indirect Cash Flow Statement" display="HL_TOC_36"/>
    <hyperlink ref="I35" location="HL_TOC_36" tooltip="Go to Indirect Cash Flow Statement" display="HL_TOC_36"/>
    <hyperlink ref="H36" location="HL_TOC_14" tooltip="Go to Capital Providers - Cash Flow Reconciliation" display="HL_TOC_14"/>
    <hyperlink ref="I36" location="HL_TOC_14" tooltip="Go to Capital Providers - Cash Flow Reconciliation" display="HL_TOC_14"/>
    <hyperlink ref="D37" location="HL_Sheet_Main_20" tooltip="Go to Dashboard Outputs" display="HL_Sheet_Main_20"/>
    <hyperlink ref="F37" location="HL_Sheet_Main_20" tooltip="Go to Dashboard Outputs" display="HL_Sheet_Main_20"/>
    <hyperlink ref="F38" location="HL_Sheet_Main_19" tooltip="Go to Business Planning Summary" display="HL_Sheet_Main_19"/>
    <hyperlink ref="H38" location="HL_Sheet_Main_19" tooltip="Go to Business Planning Summary" display="HL_Sheet_Main_19"/>
    <hyperlink ref="B39" location="HL_Sheet_Main_39" tooltip="Go to Appendices" display="HL_Sheet_Main_39"/>
    <hyperlink ref="D39" location="HL_Sheet_Main_39" tooltip="Go to Appendices" display="HL_Sheet_Main_39"/>
    <hyperlink ref="D40" location="HL_Sheet_Main_8" tooltip="Go to Model Imports" display="HL_Sheet_Main_8"/>
    <hyperlink ref="F40" location="HL_Sheet_Main_8" tooltip="Go to Model Imports" display="HL_Sheet_Main_8"/>
    <hyperlink ref="D41" location="HL_Sheet_Main_13" tooltip="Go to Checks" display="HL_Sheet_Main_13"/>
    <hyperlink ref="F41" location="HL_Sheet_Main_13" tooltip="Go to Checks" display="HL_Sheet_Main_13"/>
    <hyperlink ref="F42" location="HL_Sheet_Main_14" tooltip="Go to Checks" display="HL_Sheet_Main_14"/>
    <hyperlink ref="H42" location="HL_Sheet_Main_14" tooltip="Go to Checks" display="HL_Sheet_Main_14"/>
    <hyperlink ref="H43" location="HL_TOC_6" tooltip="Go to Error Checks" display="HL_TOC_6"/>
    <hyperlink ref="I43" location="HL_TOC_6" tooltip="Go to Error Checks" display="HL_TOC_6"/>
    <hyperlink ref="H44" location="HL_TOC_7" tooltip="Go to Sensitivity Checks" display="HL_TOC_7"/>
    <hyperlink ref="I44" location="HL_TOC_7" tooltip="Go to Sensitivity Checks" display="HL_TOC_7"/>
    <hyperlink ref="H45" location="HL_TOC_8" tooltip="Go to Alert Checks" display="HL_TOC_8"/>
    <hyperlink ref="I45" location="HL_TOC_8" tooltip="Go to Alert Checks" display="HL_TOC_8"/>
    <hyperlink ref="D46" location="HL_Sheet_Main_40" tooltip="Go to Lookup Tables" display="HL_Sheet_Main_40"/>
    <hyperlink ref="F46" location="HL_Sheet_Main_40" tooltip="Go to Lookup Tables" display="HL_Sheet_Main_40"/>
    <hyperlink ref="F47" location="HL_Sheet_Main_9" tooltip="Go to Time Series Lookup Tables" display="HL_Sheet_Main_9"/>
    <hyperlink ref="H47" location="HL_Sheet_Main_9" tooltip="Go to Time Series Lookup Tables" display="HL_Sheet_Main_9"/>
    <hyperlink ref="F48" location="HL_Sheet_Main_42" tooltip="Go to Capital - Lookup Tables" display="HL_Sheet_Main_42"/>
    <hyperlink ref="H48" location="HL_Sheet_Main_42" tooltip="Go to Capital - Lookup Tables" display="HL_Sheet_Main_42"/>
    <hyperlink ref="F49" location="HL_Sheet_Main_27" tooltip="Go to Dashboards - Lookup Tables" display="HL_Sheet_Main_27"/>
    <hyperlink ref="H49" location="HL_Sheet_Main_27" tooltip="Go to Dashboards - Lookup Tables" display="HL_Sheet_Main_27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105</v>
      </c>
    </row>
    <row r="10" spans="3:7" ht="16.5">
      <c r="C10" s="24" t="s">
        <v>116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326</v>
      </c>
    </row>
    <row r="18" spans="3:3">
      <c r="C18" s="178" t="s">
        <v>390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19" tooltip="Go to Previous Sheet" display="HL_Sheet_Main_19"/>
    <hyperlink ref="D13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392</v>
      </c>
    </row>
    <row r="10" spans="3:7" ht="16.5">
      <c r="C10" s="24" t="s">
        <v>383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365</v>
      </c>
    </row>
    <row r="18" spans="3:3">
      <c r="C18" s="181" t="s">
        <v>393</v>
      </c>
    </row>
    <row r="19" spans="3:3">
      <c r="C19" s="181"/>
    </row>
    <row r="20" spans="3:3">
      <c r="C20" s="181"/>
    </row>
  </sheetData>
  <mergeCells count="1">
    <mergeCell ref="C12:G12"/>
  </mergeCells>
  <hyperlinks>
    <hyperlink ref="C12" location="HL_Home" tooltip="Go to Table of Contents" display="HL_Home"/>
    <hyperlink ref="C13" location="HL_Sheet_Main_39" tooltip="Go to Previous Sheet" display="HL_Sheet_Main_39"/>
    <hyperlink ref="D13" location="HL_Sheet_Main_13" tooltip="Go to Next Sheet" display="HL_Sheet_Main_13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106</v>
      </c>
    </row>
    <row r="10" spans="3:7" ht="16.5">
      <c r="C10" s="24" t="s">
        <v>385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327</v>
      </c>
    </row>
    <row r="18" spans="3:3">
      <c r="C18" s="178" t="s">
        <v>391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>
    <pageSetUpPr autoPageBreaks="0"/>
  </sheetPr>
  <dimension ref="A1:M64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/>
  <cols>
    <col min="1" max="5" width="3.83203125" customWidth="1"/>
    <col min="6" max="256" width="11.83203125" customWidth="1"/>
  </cols>
  <sheetData>
    <row r="1" spans="1:9" ht="18">
      <c r="B1" s="1" t="s">
        <v>106</v>
      </c>
    </row>
    <row r="2" spans="1:9" ht="15">
      <c r="B2" s="2" t="str">
        <f>Model_Name</f>
        <v>SMA 13. Multiple Workbooks - Practical Training Exercise 1 (Alert in Ordinary Equity - Outputs)</v>
      </c>
    </row>
    <row r="3" spans="1:9">
      <c r="B3" s="230" t="s">
        <v>48</v>
      </c>
      <c r="C3" s="230"/>
      <c r="D3" s="230"/>
      <c r="E3" s="230"/>
      <c r="F3" s="230"/>
    </row>
    <row r="4" spans="1:9" ht="12.75">
      <c r="A4" s="8" t="s">
        <v>51</v>
      </c>
      <c r="B4" s="9" t="s">
        <v>53</v>
      </c>
      <c r="C4" s="10" t="s">
        <v>102</v>
      </c>
      <c r="D4" s="229" t="s">
        <v>120</v>
      </c>
      <c r="E4" s="229" t="s">
        <v>121</v>
      </c>
      <c r="F4" s="11" t="s">
        <v>122</v>
      </c>
    </row>
    <row r="7" spans="1:9" ht="12.75">
      <c r="B7" s="29" t="s">
        <v>129</v>
      </c>
    </row>
    <row r="9" spans="1:9" ht="17.25" customHeight="1">
      <c r="C9" s="64" t="b">
        <v>1</v>
      </c>
    </row>
    <row r="11" spans="1:9" ht="11.25">
      <c r="C11" s="30" t="s">
        <v>130</v>
      </c>
    </row>
    <row r="13" spans="1:9">
      <c r="D13" s="69" t="str">
        <f>D29</f>
        <v>Total Errors:</v>
      </c>
      <c r="I13" s="71">
        <f>Err_Chks_Ttl_Areas</f>
        <v>0</v>
      </c>
    </row>
    <row r="14" spans="1:9">
      <c r="D14" s="72" t="s">
        <v>133</v>
      </c>
      <c r="I14" s="73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30" t="s">
        <v>129</v>
      </c>
    </row>
    <row r="18" spans="2:13">
      <c r="D18" s="65" t="s">
        <v>129</v>
      </c>
      <c r="E18" s="15"/>
      <c r="F18" s="15"/>
      <c r="G18" s="15"/>
      <c r="H18" s="15"/>
      <c r="I18" s="15"/>
      <c r="J18" s="15"/>
      <c r="K18" s="66" t="s">
        <v>131</v>
      </c>
      <c r="L18" s="66" t="s">
        <v>132</v>
      </c>
      <c r="M18" s="66" t="s">
        <v>257</v>
      </c>
    </row>
    <row r="19" spans="2:13" s="13" customFormat="1">
      <c r="D19" s="74"/>
      <c r="E19" s="18"/>
      <c r="F19" s="18"/>
      <c r="G19" s="18"/>
      <c r="H19" s="18"/>
      <c r="I19" s="18"/>
      <c r="J19" s="18"/>
      <c r="K19" s="75"/>
      <c r="L19" s="75"/>
      <c r="M19" s="75"/>
    </row>
    <row r="20" spans="2:13">
      <c r="D20" s="226" t="str">
        <f>IF(ISERROR(Err_Chk_2_Hdg),"Miscellaneous Check",Err_Chk_2_Hdg)</f>
        <v>Accounts Receivable Balances ($Millions)</v>
      </c>
      <c r="E20" s="7"/>
      <c r="F20" s="7"/>
      <c r="G20" s="7"/>
      <c r="H20" s="7"/>
      <c r="I20" s="7"/>
      <c r="J20" s="7"/>
      <c r="K20" s="70">
        <f>IF(ISERROR(HL_Err_Chk_2),1,(HL_Err_Chk_2&lt;&gt;0)*1)</f>
        <v>0</v>
      </c>
      <c r="L20" s="63" t="s">
        <v>86</v>
      </c>
      <c r="M20" s="67">
        <f t="shared" ref="M20:M27" si="0">K20*(L20="Yes")</f>
        <v>0</v>
      </c>
    </row>
    <row r="21" spans="2:13" s="13" customFormat="1">
      <c r="D21" s="226" t="str">
        <f>IF(ISERROR(Err_Chk_1_Hdg),"Miscellaneous Check",Err_Chk_1_Hdg)</f>
        <v>Accounts Payable Balances ($Millions)</v>
      </c>
      <c r="E21" s="7"/>
      <c r="F21" s="7"/>
      <c r="G21" s="7"/>
      <c r="H21" s="7"/>
      <c r="I21" s="7"/>
      <c r="J21" s="7"/>
      <c r="K21" s="70">
        <f>IF(ISERROR(HL_Err_Chk_1),1,(HL_Err_Chk_1&lt;&gt;0)*1)</f>
        <v>0</v>
      </c>
      <c r="L21" s="63" t="s">
        <v>86</v>
      </c>
      <c r="M21" s="67">
        <f t="shared" si="0"/>
        <v>0</v>
      </c>
    </row>
    <row r="22" spans="2:13" s="13" customFormat="1">
      <c r="D22" s="226" t="str">
        <f>IF(ISERROR(Err_Chk_3_Hdg),"Miscellaneous Check",Err_Chk_3_Hdg)</f>
        <v>Assets Balances ($Millions)</v>
      </c>
      <c r="E22" s="7"/>
      <c r="F22" s="7"/>
      <c r="G22" s="7"/>
      <c r="H22" s="7"/>
      <c r="I22" s="7"/>
      <c r="J22" s="7"/>
      <c r="K22" s="70">
        <f>IF(ISERROR(HL_Err_Chk_3),1,(HL_Err_Chk_3&lt;&gt;0)*1)</f>
        <v>0</v>
      </c>
      <c r="L22" s="63" t="s">
        <v>86</v>
      </c>
      <c r="M22" s="67">
        <f t="shared" si="0"/>
        <v>0</v>
      </c>
    </row>
    <row r="23" spans="2:13" s="13" customFormat="1">
      <c r="D23" s="226" t="str">
        <f>IF(ISERROR(Err_Chk_4_Hdg),"Miscellaneous Check",Err_Chk_4_Hdg)</f>
        <v>Intangibles Balances ($Millions)</v>
      </c>
      <c r="E23" s="7"/>
      <c r="F23" s="7"/>
      <c r="G23" s="7"/>
      <c r="H23" s="7"/>
      <c r="I23" s="7"/>
      <c r="J23" s="7"/>
      <c r="K23" s="70">
        <f>IF(ISERROR(HL_Err_Chk_4),1,(HL_Err_Chk_4&lt;&gt;0)*1)</f>
        <v>0</v>
      </c>
      <c r="L23" s="63" t="s">
        <v>86</v>
      </c>
      <c r="M23" s="67">
        <f t="shared" si="0"/>
        <v>0</v>
      </c>
    </row>
    <row r="24" spans="2:13" s="13" customFormat="1">
      <c r="D24" s="226" t="str">
        <f>IF(ISERROR(Err_Chk_15_Hdg),"Miscellaneous Check",Err_Chk_15_Hdg)</f>
        <v>Ordinary Equity - Outputs</v>
      </c>
      <c r="E24" s="7"/>
      <c r="F24" s="7"/>
      <c r="G24" s="7"/>
      <c r="H24" s="7"/>
      <c r="I24" s="7"/>
      <c r="J24" s="7"/>
      <c r="K24" s="70">
        <f>IF(ISERROR(HL_Err_Chk_15),1,(HL_Err_Chk_15&lt;&gt;0)*1)</f>
        <v>0</v>
      </c>
      <c r="L24" s="63" t="s">
        <v>86</v>
      </c>
      <c r="M24" s="67">
        <f t="shared" si="0"/>
        <v>0</v>
      </c>
    </row>
    <row r="25" spans="2:13" s="13" customFormat="1">
      <c r="D25" s="226" t="str">
        <f>IF(ISERROR(Err_Chk_11_Hdg),"Miscellaneous Check",Err_Chk_11_Hdg)</f>
        <v>Income Statement</v>
      </c>
      <c r="E25" s="7"/>
      <c r="F25" s="7"/>
      <c r="G25" s="7"/>
      <c r="H25" s="7"/>
      <c r="I25" s="7"/>
      <c r="J25" s="7"/>
      <c r="K25" s="70">
        <f>IF(ISERROR(HL_Err_Chk_11),1,(HL_Err_Chk_11&lt;&gt;0)*1)</f>
        <v>0</v>
      </c>
      <c r="L25" s="63" t="s">
        <v>86</v>
      </c>
      <c r="M25" s="67">
        <f t="shared" si="0"/>
        <v>0</v>
      </c>
    </row>
    <row r="26" spans="2:13" s="13" customFormat="1">
      <c r="D26" s="226" t="str">
        <f>IF(ISERROR(Err_Chk_13_Hdg),"Miscellaneous Check",Err_Chk_13_Hdg)</f>
        <v>Balance Sheet</v>
      </c>
      <c r="E26" s="7"/>
      <c r="F26" s="7"/>
      <c r="G26" s="7"/>
      <c r="H26" s="7"/>
      <c r="I26" s="7"/>
      <c r="J26" s="7"/>
      <c r="K26" s="70">
        <f>IF(ISERROR(HL_Err_Chk_13),1,(HL_Err_Chk_13&lt;&gt;0)*1)</f>
        <v>0</v>
      </c>
      <c r="L26" s="63" t="s">
        <v>86</v>
      </c>
      <c r="M26" s="67">
        <f t="shared" si="0"/>
        <v>0</v>
      </c>
    </row>
    <row r="27" spans="2:13" s="13" customFormat="1">
      <c r="D27" s="226" t="str">
        <f>IF(ISERROR(Err_Chk_14_Hdg),"Miscellaneous Check",Err_Chk_14_Hdg)</f>
        <v>Cash Flow Statement</v>
      </c>
      <c r="E27" s="7"/>
      <c r="F27" s="7"/>
      <c r="G27" s="7"/>
      <c r="H27" s="7"/>
      <c r="I27" s="7"/>
      <c r="J27" s="7"/>
      <c r="K27" s="70">
        <f>IF(ISERROR(HL_Err_Chk_14),1,(HL_Err_Chk_14&lt;&gt;0)*1)</f>
        <v>0</v>
      </c>
      <c r="L27" s="63" t="s">
        <v>86</v>
      </c>
      <c r="M27" s="67">
        <f t="shared" si="0"/>
        <v>0</v>
      </c>
    </row>
    <row r="28" spans="2:13" s="13" customFormat="1"/>
    <row r="29" spans="2:13">
      <c r="D29" s="22" t="s">
        <v>258</v>
      </c>
      <c r="M29" s="68">
        <f>SUMIF(CA_Err_Chks_Inc,"Yes",CA_Err_Chks_Flags)</f>
        <v>0</v>
      </c>
    </row>
    <row r="32" spans="2:13" ht="12.75">
      <c r="B32" s="29" t="s">
        <v>134</v>
      </c>
    </row>
    <row r="34" spans="2:13" ht="17.25" customHeight="1">
      <c r="C34" s="64" t="b">
        <v>1</v>
      </c>
    </row>
    <row r="36" spans="2:13" ht="11.25">
      <c r="C36" s="30" t="s">
        <v>135</v>
      </c>
    </row>
    <row r="38" spans="2:13">
      <c r="D38" s="69" t="str">
        <f>D45</f>
        <v>Total Sensitivities:</v>
      </c>
      <c r="I38" s="71">
        <f>Sens_Chks_Ttl_Areas</f>
        <v>0</v>
      </c>
    </row>
    <row r="39" spans="2:13">
      <c r="D39" s="72" t="s">
        <v>136</v>
      </c>
      <c r="I39" s="73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41" spans="2:13" ht="11.25">
      <c r="C41" s="30" t="s">
        <v>134</v>
      </c>
    </row>
    <row r="43" spans="2:13">
      <c r="D43" s="65" t="s">
        <v>134</v>
      </c>
      <c r="E43" s="15"/>
      <c r="F43" s="15"/>
      <c r="G43" s="15"/>
      <c r="H43" s="15"/>
      <c r="I43" s="15"/>
      <c r="J43" s="15"/>
      <c r="K43" s="66" t="s">
        <v>131</v>
      </c>
      <c r="L43" s="66" t="s">
        <v>132</v>
      </c>
      <c r="M43" s="66" t="s">
        <v>257</v>
      </c>
    </row>
    <row r="44" spans="2:13">
      <c r="D44" s="13"/>
    </row>
    <row r="45" spans="2:13">
      <c r="D45" s="22" t="s">
        <v>259</v>
      </c>
      <c r="M45" s="68">
        <f>SUMIF(CA_Sens_Chks_Inc,"Yes",CA_Sens_Chks_Flags)</f>
        <v>0</v>
      </c>
    </row>
    <row r="48" spans="2:13" ht="12.75">
      <c r="B48" s="29" t="s">
        <v>137</v>
      </c>
    </row>
    <row r="50" spans="3:13" ht="17.25" customHeight="1">
      <c r="C50" s="64" t="b">
        <v>1</v>
      </c>
    </row>
    <row r="52" spans="3:13" ht="11.25">
      <c r="C52" s="30" t="s">
        <v>138</v>
      </c>
    </row>
    <row r="54" spans="3:13">
      <c r="D54" s="69" t="str">
        <f>D64</f>
        <v>Total Alerts:</v>
      </c>
      <c r="I54" s="71">
        <f>Alt_Chks_Ttl_Areas</f>
        <v>1</v>
      </c>
    </row>
    <row r="55" spans="3:13">
      <c r="D55" s="72" t="s">
        <v>139</v>
      </c>
      <c r="I55" s="73" t="str">
        <f>IF(OR(NOT(CB_Alt_Chks_Show_Msg),Alt_Chks_Ttl_Areas=0),"",IF(Alt_Chks_Ttl_Areas=1," (Alert in "&amp;INDEX(CA_Alt_Chks_Area_Names,MATCH(1,CA_Alt_Chks_Flags,0))&amp;")"," ("&amp;TEXT(Alt_Chks_Ttl_Areas,"#,##0")&amp;" Alerts Detected)"))</f>
        <v xml:space="preserve"> (Alert in Ordinary Equity - Outputs)</v>
      </c>
    </row>
    <row r="57" spans="3:13" ht="11.25">
      <c r="C57" s="30" t="s">
        <v>137</v>
      </c>
    </row>
    <row r="59" spans="3:13">
      <c r="D59" s="65" t="s">
        <v>137</v>
      </c>
      <c r="E59" s="15"/>
      <c r="F59" s="15"/>
      <c r="G59" s="15"/>
      <c r="H59" s="15"/>
      <c r="I59" s="15"/>
      <c r="J59" s="15"/>
      <c r="K59" s="66" t="s">
        <v>131</v>
      </c>
      <c r="L59" s="66" t="s">
        <v>132</v>
      </c>
      <c r="M59" s="66" t="s">
        <v>257</v>
      </c>
    </row>
    <row r="60" spans="3:13" s="13" customFormat="1">
      <c r="D60" s="74"/>
      <c r="E60" s="18"/>
      <c r="F60" s="18"/>
      <c r="G60" s="18"/>
      <c r="H60" s="18"/>
      <c r="I60" s="18"/>
      <c r="J60" s="18"/>
      <c r="K60" s="75"/>
      <c r="L60" s="75"/>
      <c r="M60" s="75"/>
    </row>
    <row r="61" spans="3:13">
      <c r="D61" s="226" t="str">
        <f>IF(ISERROR(Alt_Chk_15_Hdg),"Miscellaneous Check",Alt_Chk_15_Hdg)</f>
        <v>Ordinary Equity - Outputs</v>
      </c>
      <c r="E61" s="7"/>
      <c r="F61" s="7"/>
      <c r="G61" s="7"/>
      <c r="H61" s="7"/>
      <c r="I61" s="7"/>
      <c r="J61" s="7"/>
      <c r="K61" s="70">
        <f>IF(ISERROR(HL_Alt_Chk_15),1,(HL_Alt_Chk_15&lt;&gt;0)*1)</f>
        <v>1</v>
      </c>
      <c r="L61" s="63" t="s">
        <v>86</v>
      </c>
      <c r="M61" s="67">
        <f>K61*(L61="Yes")</f>
        <v>1</v>
      </c>
    </row>
    <row r="62" spans="3:13" s="13" customFormat="1">
      <c r="D62" s="226" t="str">
        <f>IF(ISERROR(Alt_Chk_14_Hdg),"Miscellaneous Check",Alt_Chk_14_Hdg)</f>
        <v>Balance Sheet</v>
      </c>
      <c r="E62" s="7"/>
      <c r="F62" s="7"/>
      <c r="G62" s="7"/>
      <c r="H62" s="7"/>
      <c r="I62" s="7"/>
      <c r="J62" s="7"/>
      <c r="K62" s="70">
        <f>IF(ISERROR(HL_Alt_Chk_14),1,(HL_Alt_Chk_14&lt;&gt;0)*1)</f>
        <v>0</v>
      </c>
      <c r="L62" s="63" t="s">
        <v>86</v>
      </c>
      <c r="M62" s="67">
        <f>K62*(L62="Yes")</f>
        <v>0</v>
      </c>
    </row>
    <row r="63" spans="3:13" s="13" customFormat="1"/>
    <row r="64" spans="3:13">
      <c r="D64" s="22" t="s">
        <v>260</v>
      </c>
      <c r="M64" s="68">
        <f>SUMIF(CA_Alt_Chks_Inc,"Yes",CA_Alt_Chks_Flags)</f>
        <v>1</v>
      </c>
    </row>
  </sheetData>
  <mergeCells count="1">
    <mergeCell ref="B3:F3"/>
  </mergeCells>
  <conditionalFormatting sqref="M45 I54 M29 I38 I13">
    <cfRule type="cellIs" dxfId="34" priority="1" stopIfTrue="1" operator="notEqual">
      <formula>0</formula>
    </cfRule>
  </conditionalFormatting>
  <conditionalFormatting sqref="M64">
    <cfRule type="cellIs" dxfId="33" priority="165" stopIfTrue="1" operator="notEqual">
      <formula>0</formula>
    </cfRule>
  </conditionalFormatting>
  <conditionalFormatting sqref="K20:K27">
    <cfRule type="cellIs" dxfId="32" priority="2071" stopIfTrue="1" operator="notEqual">
      <formula>0</formula>
    </cfRule>
  </conditionalFormatting>
  <conditionalFormatting sqref="D20">
    <cfRule type="expression" dxfId="31" priority="2106" stopIfTrue="1">
      <formula>K20&lt;&gt;0</formula>
    </cfRule>
  </conditionalFormatting>
  <conditionalFormatting sqref="L20">
    <cfRule type="expression" dxfId="30" priority="2108" stopIfTrue="1">
      <formula>K20&lt;&gt;0</formula>
    </cfRule>
  </conditionalFormatting>
  <conditionalFormatting sqref="M20">
    <cfRule type="expression" dxfId="29" priority="2109" stopIfTrue="1">
      <formula>K20&lt;&gt;0</formula>
    </cfRule>
  </conditionalFormatting>
  <conditionalFormatting sqref="D21">
    <cfRule type="expression" dxfId="28" priority="2110" stopIfTrue="1">
      <formula>K21&lt;&gt;0</formula>
    </cfRule>
  </conditionalFormatting>
  <conditionalFormatting sqref="L21">
    <cfRule type="expression" dxfId="27" priority="2112" stopIfTrue="1">
      <formula>K21&lt;&gt;0</formula>
    </cfRule>
  </conditionalFormatting>
  <conditionalFormatting sqref="M21">
    <cfRule type="expression" dxfId="26" priority="2113" stopIfTrue="1">
      <formula>K21&lt;&gt;0</formula>
    </cfRule>
  </conditionalFormatting>
  <conditionalFormatting sqref="D22">
    <cfRule type="expression" dxfId="25" priority="2114" stopIfTrue="1">
      <formula>K22&lt;&gt;0</formula>
    </cfRule>
  </conditionalFormatting>
  <conditionalFormatting sqref="L22">
    <cfRule type="expression" dxfId="24" priority="2116" stopIfTrue="1">
      <formula>K22&lt;&gt;0</formula>
    </cfRule>
  </conditionalFormatting>
  <conditionalFormatting sqref="M22">
    <cfRule type="expression" dxfId="23" priority="2117" stopIfTrue="1">
      <formula>K22&lt;&gt;0</formula>
    </cfRule>
  </conditionalFormatting>
  <conditionalFormatting sqref="D23">
    <cfRule type="expression" dxfId="22" priority="2118" stopIfTrue="1">
      <formula>K23&lt;&gt;0</formula>
    </cfRule>
  </conditionalFormatting>
  <conditionalFormatting sqref="L23">
    <cfRule type="expression" dxfId="21" priority="2120" stopIfTrue="1">
      <formula>K23&lt;&gt;0</formula>
    </cfRule>
  </conditionalFormatting>
  <conditionalFormatting sqref="M23">
    <cfRule type="expression" dxfId="20" priority="2121" stopIfTrue="1">
      <formula>K23&lt;&gt;0</formula>
    </cfRule>
  </conditionalFormatting>
  <conditionalFormatting sqref="D24">
    <cfRule type="expression" dxfId="19" priority="2122" stopIfTrue="1">
      <formula>K24&lt;&gt;0</formula>
    </cfRule>
  </conditionalFormatting>
  <conditionalFormatting sqref="L24">
    <cfRule type="expression" dxfId="18" priority="2124" stopIfTrue="1">
      <formula>K24&lt;&gt;0</formula>
    </cfRule>
  </conditionalFormatting>
  <conditionalFormatting sqref="M24">
    <cfRule type="expression" dxfId="17" priority="2125" stopIfTrue="1">
      <formula>K24&lt;&gt;0</formula>
    </cfRule>
  </conditionalFormatting>
  <conditionalFormatting sqref="D25">
    <cfRule type="expression" dxfId="16" priority="2126" stopIfTrue="1">
      <formula>K25&lt;&gt;0</formula>
    </cfRule>
  </conditionalFormatting>
  <conditionalFormatting sqref="L25">
    <cfRule type="expression" dxfId="15" priority="2128" stopIfTrue="1">
      <formula>K25&lt;&gt;0</formula>
    </cfRule>
  </conditionalFormatting>
  <conditionalFormatting sqref="M25">
    <cfRule type="expression" dxfId="14" priority="2129" stopIfTrue="1">
      <formula>K25&lt;&gt;0</formula>
    </cfRule>
  </conditionalFormatting>
  <conditionalFormatting sqref="D26">
    <cfRule type="expression" dxfId="13" priority="2130" stopIfTrue="1">
      <formula>K26&lt;&gt;0</formula>
    </cfRule>
  </conditionalFormatting>
  <conditionalFormatting sqref="L26">
    <cfRule type="expression" dxfId="12" priority="2132" stopIfTrue="1">
      <formula>K26&lt;&gt;0</formula>
    </cfRule>
  </conditionalFormatting>
  <conditionalFormatting sqref="M26">
    <cfRule type="expression" dxfId="11" priority="2133" stopIfTrue="1">
      <formula>K26&lt;&gt;0</formula>
    </cfRule>
  </conditionalFormatting>
  <conditionalFormatting sqref="D27">
    <cfRule type="expression" dxfId="10" priority="2134" stopIfTrue="1">
      <formula>K27&lt;&gt;0</formula>
    </cfRule>
  </conditionalFormatting>
  <conditionalFormatting sqref="L27">
    <cfRule type="expression" dxfId="9" priority="2136" stopIfTrue="1">
      <formula>K27&lt;&gt;0</formula>
    </cfRule>
  </conditionalFormatting>
  <conditionalFormatting sqref="M27">
    <cfRule type="expression" dxfId="8" priority="2137" stopIfTrue="1">
      <formula>K27&lt;&gt;0</formula>
    </cfRule>
  </conditionalFormatting>
  <conditionalFormatting sqref="D61">
    <cfRule type="expression" dxfId="7" priority="2138" stopIfTrue="1">
      <formula>K61&lt;&gt;0</formula>
    </cfRule>
  </conditionalFormatting>
  <conditionalFormatting sqref="K61">
    <cfRule type="cellIs" dxfId="6" priority="2139" stopIfTrue="1" operator="notEqual">
      <formula>0</formula>
    </cfRule>
  </conditionalFormatting>
  <conditionalFormatting sqref="L61">
    <cfRule type="expression" dxfId="5" priority="2140" stopIfTrue="1">
      <formula>K61&lt;&gt;0</formula>
    </cfRule>
  </conditionalFormatting>
  <conditionalFormatting sqref="M61">
    <cfRule type="expression" dxfId="4" priority="2141" stopIfTrue="1">
      <formula>K61&lt;&gt;0</formula>
    </cfRule>
  </conditionalFormatting>
  <conditionalFormatting sqref="D62">
    <cfRule type="expression" dxfId="3" priority="2142" stopIfTrue="1">
      <formula>K62&lt;&gt;0</formula>
    </cfRule>
  </conditionalFormatting>
  <conditionalFormatting sqref="K62">
    <cfRule type="cellIs" dxfId="2" priority="2143" stopIfTrue="1" operator="notEqual">
      <formula>0</formula>
    </cfRule>
  </conditionalFormatting>
  <conditionalFormatting sqref="L62">
    <cfRule type="expression" dxfId="1" priority="2144" stopIfTrue="1">
      <formula>K62&lt;&gt;0</formula>
    </cfRule>
  </conditionalFormatting>
  <conditionalFormatting sqref="M62">
    <cfRule type="expression" dxfId="0" priority="2145" stopIfTrue="1">
      <formula>K62&lt;&gt;0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50 C9 C34">
      <formula1>ISLOGICAL(C9)</formula1>
    </dataValidation>
    <dataValidation type="list" showErrorMessage="1" errorTitle="Include Error Check" error="The include error check trigger must correspond with one of the options provided in the drop down list." sqref="L20:L27">
      <formula1>"Yes,No"</formula1>
    </dataValidation>
    <dataValidation type="list" showErrorMessage="1" errorTitle="Include Alert Check" error="The include alert check trigger must correspond with one of the options provided in the drop down list." sqref="L61">
      <formula1>"Yes,No"</formula1>
    </dataValidation>
    <dataValidation type="list" showErrorMessage="1" errorTitle="Include Alert Check" error="The include alert check trigger must correspond with one of the options provided in the drop down list." sqref="L62">
      <formula1>"Yes,No"</formula1>
    </dataValidation>
  </dataValidations>
  <hyperlinks>
    <hyperlink ref="D20:J20" location="HL_Err_Chk_2" tooltip="Go to Accounts Receivable Balances ($Millions)" display="HL_Err_Chk_2"/>
    <hyperlink ref="D21:J21" location="HL_Err_Chk_1" tooltip="Go to Accounts Payable Balances ($Millions)" display="HL_Err_Chk_1"/>
    <hyperlink ref="D22:J22" location="HL_Err_Chk_3" tooltip="Go to Assets Balances ($Millions)" display="HL_Err_Chk_3"/>
    <hyperlink ref="D23:J23" location="HL_Err_Chk_4" tooltip="Go to Intangibles Balances ($Millions)" display="HL_Err_Chk_4"/>
    <hyperlink ref="D24:J24" location="HL_Err_Chk_15" tooltip="Go to Ordinary Equity - Outputs" display="HL_Err_Chk_15"/>
    <hyperlink ref="D25:J25" location="HL_Err_Chk_11" tooltip="Go to Income Statement" display="HL_Err_Chk_11"/>
    <hyperlink ref="D26:J26" location="HL_Err_Chk_13" tooltip="Go to Balance Sheet" display="HL_Err_Chk_13"/>
    <hyperlink ref="D27:J27" location="HL_Err_Chk_14" tooltip="Go to Cash Flow Statement" display="HL_Err_Chk_14"/>
    <hyperlink ref="D61:J61" location="HL_Alt_Chk_15" tooltip="Go to Ordinary Equity - Outputs" display="HL_Alt_Chk_15"/>
    <hyperlink ref="D62:J62" location="HL_Alt_Chk_14" tooltip="Go to Balance Sheet" display="HL_Alt_Chk_14"/>
    <hyperlink ref="B3" location="HL_Home" tooltip="Go to Table of Contents" display="HL_Home"/>
    <hyperlink ref="A4" location="$B$5" tooltip="Go to Top of Sheet" display="$B$5"/>
    <hyperlink ref="B4" location="HL_Sheet_Main_13" tooltip="Go to Previous Sheet" display="HL_Sheet_Main_13"/>
    <hyperlink ref="C4" location="HL_Sheet_Main_40" tooltip="Go to Next Sheet" display="HL_Sheet_Main_4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scale="90" orientation="landscape" r:id="rId1"/>
  <headerFooter>
    <oddFooter>&amp;L&amp;F
&amp;A
Printed: &amp;T on &amp;D&amp;CPage &amp;P of &amp;N&amp;R&amp;G</oddFooter>
  </headerFooter>
  <rowBreaks count="2" manualBreakCount="2">
    <brk id="31" min="1" max="12" man="1"/>
    <brk id="47" min="1" max="12" man="1"/>
  </rowBreaks>
  <legacy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107</v>
      </c>
    </row>
    <row r="10" spans="3:7" ht="16.5">
      <c r="C10" s="24" t="s">
        <v>404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327</v>
      </c>
    </row>
    <row r="18" spans="3:3">
      <c r="C18" s="23" t="s">
        <v>262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201</v>
      </c>
    </row>
    <row r="2" spans="1:6" ht="15">
      <c r="B2" s="2" t="str">
        <f>Model_Name</f>
        <v>SMA 13. Multiple Workbooks - Practical Training Exercise 1 (Alert in Ordinary Equity - Outputs)</v>
      </c>
    </row>
    <row r="3" spans="1:6">
      <c r="B3" s="230" t="s">
        <v>48</v>
      </c>
      <c r="C3" s="230"/>
      <c r="D3" s="230"/>
    </row>
    <row r="4" spans="1:6" ht="12.75">
      <c r="A4" s="8" t="s">
        <v>51</v>
      </c>
      <c r="B4" s="9" t="s">
        <v>53</v>
      </c>
      <c r="C4" s="10" t="s">
        <v>102</v>
      </c>
    </row>
    <row r="7" spans="1:6" ht="12.75">
      <c r="B7" s="29" t="s">
        <v>201</v>
      </c>
    </row>
    <row r="9" spans="1:6" ht="11.25">
      <c r="C9" s="30" t="s">
        <v>202</v>
      </c>
      <c r="F9" s="30" t="s">
        <v>200</v>
      </c>
    </row>
    <row r="11" spans="1:6">
      <c r="D11" s="31" t="s">
        <v>202</v>
      </c>
      <c r="F11" s="23" t="s">
        <v>203</v>
      </c>
    </row>
    <row r="12" spans="1:6">
      <c r="D12" s="33">
        <v>1</v>
      </c>
    </row>
    <row r="13" spans="1:6">
      <c r="D13" s="34">
        <f t="shared" ref="D13:D42" si="0">D12+1</f>
        <v>2</v>
      </c>
    </row>
    <row r="14" spans="1:6">
      <c r="D14" s="34">
        <f t="shared" si="0"/>
        <v>3</v>
      </c>
    </row>
    <row r="15" spans="1:6">
      <c r="D15" s="34">
        <f t="shared" si="0"/>
        <v>4</v>
      </c>
    </row>
    <row r="16" spans="1:6">
      <c r="D16" s="34">
        <f t="shared" si="0"/>
        <v>5</v>
      </c>
    </row>
    <row r="17" spans="4:4">
      <c r="D17" s="34">
        <f t="shared" si="0"/>
        <v>6</v>
      </c>
    </row>
    <row r="18" spans="4:4">
      <c r="D18" s="34">
        <f t="shared" si="0"/>
        <v>7</v>
      </c>
    </row>
    <row r="19" spans="4:4">
      <c r="D19" s="34">
        <f t="shared" si="0"/>
        <v>8</v>
      </c>
    </row>
    <row r="20" spans="4:4">
      <c r="D20" s="34">
        <f t="shared" si="0"/>
        <v>9</v>
      </c>
    </row>
    <row r="21" spans="4:4">
      <c r="D21" s="34">
        <f t="shared" si="0"/>
        <v>10</v>
      </c>
    </row>
    <row r="22" spans="4:4">
      <c r="D22" s="34">
        <f t="shared" si="0"/>
        <v>11</v>
      </c>
    </row>
    <row r="23" spans="4:4">
      <c r="D23" s="34">
        <f t="shared" si="0"/>
        <v>12</v>
      </c>
    </row>
    <row r="24" spans="4:4">
      <c r="D24" s="34">
        <f t="shared" si="0"/>
        <v>13</v>
      </c>
    </row>
    <row r="25" spans="4:4">
      <c r="D25" s="34">
        <f t="shared" si="0"/>
        <v>14</v>
      </c>
    </row>
    <row r="26" spans="4:4">
      <c r="D26" s="34">
        <f t="shared" si="0"/>
        <v>15</v>
      </c>
    </row>
    <row r="27" spans="4:4">
      <c r="D27" s="34">
        <f t="shared" si="0"/>
        <v>16</v>
      </c>
    </row>
    <row r="28" spans="4:4">
      <c r="D28" s="34">
        <f t="shared" si="0"/>
        <v>17</v>
      </c>
    </row>
    <row r="29" spans="4:4">
      <c r="D29" s="34">
        <f t="shared" si="0"/>
        <v>18</v>
      </c>
    </row>
    <row r="30" spans="4:4">
      <c r="D30" s="34">
        <f t="shared" si="0"/>
        <v>19</v>
      </c>
    </row>
    <row r="31" spans="4:4">
      <c r="D31" s="34">
        <f t="shared" si="0"/>
        <v>20</v>
      </c>
    </row>
    <row r="32" spans="4:4">
      <c r="D32" s="34">
        <f t="shared" si="0"/>
        <v>21</v>
      </c>
    </row>
    <row r="33" spans="3:6">
      <c r="D33" s="34">
        <f t="shared" si="0"/>
        <v>22</v>
      </c>
    </row>
    <row r="34" spans="3:6">
      <c r="D34" s="34">
        <f t="shared" si="0"/>
        <v>23</v>
      </c>
    </row>
    <row r="35" spans="3:6">
      <c r="D35" s="34">
        <f t="shared" si="0"/>
        <v>24</v>
      </c>
    </row>
    <row r="36" spans="3:6">
      <c r="D36" s="34">
        <f t="shared" si="0"/>
        <v>25</v>
      </c>
    </row>
    <row r="37" spans="3:6">
      <c r="D37" s="34">
        <f t="shared" si="0"/>
        <v>26</v>
      </c>
    </row>
    <row r="38" spans="3:6">
      <c r="D38" s="34">
        <f t="shared" si="0"/>
        <v>27</v>
      </c>
    </row>
    <row r="39" spans="3:6">
      <c r="D39" s="34">
        <f t="shared" si="0"/>
        <v>28</v>
      </c>
    </row>
    <row r="40" spans="3:6">
      <c r="D40" s="34">
        <f t="shared" si="0"/>
        <v>29</v>
      </c>
    </row>
    <row r="41" spans="3:6">
      <c r="D41" s="34">
        <f t="shared" si="0"/>
        <v>30</v>
      </c>
    </row>
    <row r="42" spans="3:6">
      <c r="D42" s="34">
        <f t="shared" si="0"/>
        <v>31</v>
      </c>
    </row>
    <row r="44" spans="3:6" ht="11.25">
      <c r="C44" s="30" t="s">
        <v>204</v>
      </c>
      <c r="F44" s="30" t="s">
        <v>200</v>
      </c>
    </row>
    <row r="46" spans="3:6">
      <c r="D46" s="31" t="s">
        <v>204</v>
      </c>
      <c r="F46" s="23" t="s">
        <v>205</v>
      </c>
    </row>
    <row r="47" spans="3:6">
      <c r="D47" s="32" t="s">
        <v>56</v>
      </c>
    </row>
    <row r="48" spans="3:6">
      <c r="D48" s="32" t="s">
        <v>57</v>
      </c>
    </row>
    <row r="49" spans="3:6">
      <c r="D49" s="32" t="s">
        <v>58</v>
      </c>
    </row>
    <row r="50" spans="3:6">
      <c r="D50" s="32" t="s">
        <v>59</v>
      </c>
    </row>
    <row r="51" spans="3:6">
      <c r="D51" s="32" t="s">
        <v>60</v>
      </c>
    </row>
    <row r="52" spans="3:6">
      <c r="D52" s="32" t="s">
        <v>61</v>
      </c>
    </row>
    <row r="53" spans="3:6">
      <c r="D53" s="32" t="s">
        <v>62</v>
      </c>
    </row>
    <row r="54" spans="3:6">
      <c r="D54" s="32" t="s">
        <v>63</v>
      </c>
    </row>
    <row r="55" spans="3:6">
      <c r="D55" s="32" t="s">
        <v>64</v>
      </c>
    </row>
    <row r="56" spans="3:6">
      <c r="D56" s="32" t="s">
        <v>65</v>
      </c>
    </row>
    <row r="57" spans="3:6">
      <c r="D57" s="32" t="s">
        <v>66</v>
      </c>
    </row>
    <row r="58" spans="3:6">
      <c r="D58" s="32" t="s">
        <v>67</v>
      </c>
    </row>
    <row r="60" spans="3:6" ht="11.25">
      <c r="C60" s="30" t="s">
        <v>87</v>
      </c>
      <c r="F60" s="30" t="s">
        <v>200</v>
      </c>
    </row>
    <row r="62" spans="3:6">
      <c r="D62" s="31" t="s">
        <v>87</v>
      </c>
      <c r="F62" s="23" t="s">
        <v>88</v>
      </c>
    </row>
    <row r="63" spans="3:6">
      <c r="D63" s="32" t="s">
        <v>89</v>
      </c>
      <c r="F63" s="23" t="s">
        <v>90</v>
      </c>
    </row>
    <row r="64" spans="3:6">
      <c r="D64" s="32" t="s">
        <v>91</v>
      </c>
      <c r="F64" s="23" t="s">
        <v>92</v>
      </c>
    </row>
    <row r="65" spans="3:6">
      <c r="D65" s="32" t="s">
        <v>93</v>
      </c>
      <c r="F65" s="23" t="s">
        <v>94</v>
      </c>
    </row>
    <row r="66" spans="3:6">
      <c r="D66" s="32" t="s">
        <v>95</v>
      </c>
      <c r="F66" s="23" t="s">
        <v>96</v>
      </c>
    </row>
    <row r="68" spans="3:6" ht="11.25">
      <c r="C68" s="30" t="s">
        <v>206</v>
      </c>
      <c r="F68" s="30" t="s">
        <v>200</v>
      </c>
    </row>
    <row r="70" spans="3:6">
      <c r="D70" s="31" t="s">
        <v>206</v>
      </c>
      <c r="F70" s="23" t="s">
        <v>207</v>
      </c>
    </row>
    <row r="71" spans="3:6">
      <c r="D71" s="32" t="s">
        <v>208</v>
      </c>
    </row>
    <row r="72" spans="3:6">
      <c r="D72" s="32" t="s">
        <v>209</v>
      </c>
    </row>
    <row r="74" spans="3:6" ht="11.25">
      <c r="C74" s="30" t="s">
        <v>210</v>
      </c>
      <c r="F74" s="30" t="s">
        <v>200</v>
      </c>
    </row>
    <row r="76" spans="3:6">
      <c r="D76" s="31" t="s">
        <v>210</v>
      </c>
      <c r="F76" s="23" t="s">
        <v>211</v>
      </c>
    </row>
    <row r="77" spans="3:6">
      <c r="D77" s="32" t="s">
        <v>70</v>
      </c>
      <c r="F77" s="23" t="s">
        <v>70</v>
      </c>
    </row>
    <row r="78" spans="3:6">
      <c r="D78" s="32" t="s">
        <v>71</v>
      </c>
      <c r="F78" s="23" t="s">
        <v>212</v>
      </c>
    </row>
    <row r="79" spans="3:6">
      <c r="D79" s="32" t="s">
        <v>72</v>
      </c>
      <c r="F79" s="23" t="s">
        <v>73</v>
      </c>
    </row>
    <row r="80" spans="3:6">
      <c r="D80" s="32" t="s">
        <v>74</v>
      </c>
      <c r="F80" s="23" t="s">
        <v>75</v>
      </c>
    </row>
    <row r="82" spans="3:6" ht="11.25">
      <c r="C82" s="30" t="s">
        <v>213</v>
      </c>
      <c r="F82" s="30" t="s">
        <v>200</v>
      </c>
    </row>
    <row r="84" spans="3:6">
      <c r="D84" s="31" t="s">
        <v>213</v>
      </c>
      <c r="F84" s="23" t="s">
        <v>214</v>
      </c>
    </row>
    <row r="85" spans="3:6">
      <c r="D85" s="32" t="s">
        <v>76</v>
      </c>
      <c r="F85" s="23" t="s">
        <v>77</v>
      </c>
    </row>
    <row r="86" spans="3:6">
      <c r="D86" s="32" t="s">
        <v>69</v>
      </c>
      <c r="F86" s="23" t="s">
        <v>78</v>
      </c>
    </row>
    <row r="87" spans="3:6">
      <c r="D87" s="32" t="s">
        <v>68</v>
      </c>
      <c r="F87" s="23" t="s">
        <v>79</v>
      </c>
    </row>
    <row r="88" spans="3:6">
      <c r="D88" s="32" t="s">
        <v>55</v>
      </c>
      <c r="F88" s="23" t="s">
        <v>80</v>
      </c>
    </row>
    <row r="90" spans="3:6" ht="11.25">
      <c r="C90" s="30" t="s">
        <v>215</v>
      </c>
      <c r="F90" s="30" t="s">
        <v>200</v>
      </c>
    </row>
    <row r="92" spans="3:6">
      <c r="D92" s="31" t="s">
        <v>215</v>
      </c>
      <c r="F92" s="23" t="s">
        <v>81</v>
      </c>
    </row>
    <row r="93" spans="3:6">
      <c r="D93" s="33">
        <v>1</v>
      </c>
      <c r="F93" s="23" t="s">
        <v>82</v>
      </c>
    </row>
    <row r="94" spans="3:6">
      <c r="D94" s="33">
        <v>2</v>
      </c>
      <c r="F94" s="23" t="s">
        <v>83</v>
      </c>
    </row>
    <row r="95" spans="3:6">
      <c r="D95" s="33">
        <v>4</v>
      </c>
      <c r="F95" s="23" t="s">
        <v>84</v>
      </c>
    </row>
    <row r="96" spans="3:6">
      <c r="D96" s="33">
        <v>12</v>
      </c>
      <c r="F96" s="23" t="s">
        <v>85</v>
      </c>
    </row>
    <row r="98" spans="3:6" ht="11.25">
      <c r="C98" s="30" t="s">
        <v>216</v>
      </c>
      <c r="F98" s="30" t="s">
        <v>200</v>
      </c>
    </row>
    <row r="100" spans="3:6">
      <c r="D100" s="31" t="s">
        <v>216</v>
      </c>
    </row>
    <row r="101" spans="3:6">
      <c r="D101" s="33">
        <v>10</v>
      </c>
      <c r="F101" s="23" t="s">
        <v>97</v>
      </c>
    </row>
    <row r="102" spans="3:6">
      <c r="D102" s="33">
        <v>100</v>
      </c>
      <c r="F102" s="23" t="s">
        <v>98</v>
      </c>
    </row>
    <row r="103" spans="3:6">
      <c r="D103" s="33">
        <v>1000</v>
      </c>
      <c r="F103" s="23" t="s">
        <v>99</v>
      </c>
    </row>
    <row r="104" spans="3:6">
      <c r="D104" s="33">
        <v>1000000</v>
      </c>
      <c r="F104" s="23" t="s">
        <v>100</v>
      </c>
    </row>
    <row r="105" spans="3:6">
      <c r="D105" s="33">
        <v>1000000000</v>
      </c>
      <c r="F105" s="23" t="s">
        <v>101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0" tooltip="Go to Previous Sheet" display="HL_Sheet_Main_40"/>
    <hyperlink ref="C4" location="HL_Sheet_Main_42" tooltip="Go to Next Sheet" display="HL_Sheet_Main_42"/>
  </hyperlinks>
  <pageMargins left="0.39370078740157483" right="0.39370078740157483" top="0.59055118110236227" bottom="0.98425196850393704" header="0" footer="0.31496062992125984"/>
  <pageSetup paperSize="9" orientation="landscape" r:id="rId1"/>
  <headerFooter>
    <oddFooter>&amp;L&amp;F
&amp;A
Printed: &amp;T on &amp;D&amp;CPage &amp;P of &amp;N&amp;R&amp;G</oddFooter>
  </headerFooter>
  <rowBreaks count="2" manualBreakCount="2">
    <brk id="43" min="1" max="6" man="1"/>
    <brk id="73" min="1" max="6" man="1"/>
  </rowBreaks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>
    <pageSetUpPr autoPageBreaks="0"/>
  </sheetPr>
  <dimension ref="A1:F13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263</v>
      </c>
    </row>
    <row r="2" spans="1:6" ht="15">
      <c r="B2" s="2" t="str">
        <f>Model_Name</f>
        <v>SMA 13. Multiple Workbooks - Practical Training Exercise 1 (Alert in Ordinary Equity - Outputs)</v>
      </c>
    </row>
    <row r="3" spans="1:6">
      <c r="B3" s="230" t="s">
        <v>48</v>
      </c>
      <c r="C3" s="230"/>
      <c r="D3" s="230"/>
    </row>
    <row r="4" spans="1:6" ht="12.75">
      <c r="A4" s="8" t="s">
        <v>51</v>
      </c>
      <c r="B4" s="9" t="s">
        <v>53</v>
      </c>
      <c r="C4" s="10" t="s">
        <v>102</v>
      </c>
    </row>
    <row r="7" spans="1:6" s="13" customFormat="1" ht="12.75">
      <c r="B7" s="96" t="str">
        <f>B1</f>
        <v>Capital - Lookup Tables</v>
      </c>
    </row>
    <row r="8" spans="1:6" s="13" customFormat="1"/>
    <row r="9" spans="1:6" s="13" customFormat="1" ht="11.25">
      <c r="C9" s="90" t="s">
        <v>164</v>
      </c>
      <c r="F9" s="90" t="s">
        <v>54</v>
      </c>
    </row>
    <row r="10" spans="1:6" s="13" customFormat="1"/>
    <row r="11" spans="1:6" s="13" customFormat="1">
      <c r="D11" s="100" t="s">
        <v>165</v>
      </c>
      <c r="F11" s="6" t="s">
        <v>166</v>
      </c>
    </row>
    <row r="12" spans="1:6" s="13" customFormat="1">
      <c r="D12" s="101" t="s">
        <v>167</v>
      </c>
    </row>
    <row r="13" spans="1:6" s="13" customFormat="1">
      <c r="D13" s="101" t="s">
        <v>168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27" tooltip="Go to Next Sheet" display="HL_Sheet_Main_2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>
    <pageSetUpPr autoPageBreaks="0"/>
  </sheetPr>
  <dimension ref="A1:F19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307</v>
      </c>
    </row>
    <row r="2" spans="1:6" ht="15">
      <c r="B2" s="2" t="str">
        <f>Model_Name</f>
        <v>SMA 13. Multiple Workbooks - Practical Training Exercise 1 (Alert in Ordinary Equity - Outputs)</v>
      </c>
    </row>
    <row r="3" spans="1:6">
      <c r="B3" s="230" t="s">
        <v>48</v>
      </c>
      <c r="C3" s="230"/>
      <c r="D3" s="230"/>
    </row>
    <row r="4" spans="1:6" ht="12.75">
      <c r="A4" s="8" t="s">
        <v>51</v>
      </c>
      <c r="B4" s="9" t="s">
        <v>53</v>
      </c>
    </row>
    <row r="7" spans="1:6" ht="12.75">
      <c r="B7" s="29" t="s">
        <v>310</v>
      </c>
    </row>
    <row r="9" spans="1:6" ht="11.25">
      <c r="C9" s="30" t="s">
        <v>309</v>
      </c>
      <c r="F9" s="30" t="s">
        <v>200</v>
      </c>
    </row>
    <row r="11" spans="1:6">
      <c r="D11" s="31" t="s">
        <v>308</v>
      </c>
      <c r="F11" s="110" t="s">
        <v>311</v>
      </c>
    </row>
    <row r="12" spans="1:6">
      <c r="D12" s="152" t="str">
        <f>IF(TS_Periodicity=Annual,Fcast_TA!J$7,Fcast_TA!J$6)</f>
        <v xml:space="preserve">2010 (F) </v>
      </c>
      <c r="F12" s="110"/>
    </row>
    <row r="13" spans="1:6">
      <c r="D13" s="152" t="str">
        <f>IF(TS_Periodicity=Annual,Fcast_TA!K$7,Fcast_TA!K$6)</f>
        <v xml:space="preserve">2011 (F) </v>
      </c>
      <c r="F13" s="110"/>
    </row>
    <row r="14" spans="1:6">
      <c r="D14" s="152" t="str">
        <f>IF(TS_Periodicity=Annual,Fcast_TA!L$7,Fcast_TA!L$6)</f>
        <v xml:space="preserve">2012 (F) </v>
      </c>
      <c r="F14" s="110"/>
    </row>
    <row r="15" spans="1:6">
      <c r="D15" s="152" t="str">
        <f>IF(TS_Periodicity=Annual,Fcast_TA!M$7,Fcast_TA!M$6)</f>
        <v xml:space="preserve">2013 (F) </v>
      </c>
      <c r="F15" s="110"/>
    </row>
    <row r="16" spans="1:6">
      <c r="D16" s="152" t="str">
        <f>IF(TS_Periodicity=Annual,Fcast_TA!N$7,Fcast_TA!N$6)</f>
        <v xml:space="preserve">2014 (F) </v>
      </c>
      <c r="F16" s="110"/>
    </row>
    <row r="17" spans="4:6">
      <c r="D17" s="152" t="str">
        <f>IF(TS_Periodicity=Annual,Fcast_TA!O$7,Fcast_TA!O$6)</f>
        <v xml:space="preserve">2015 (F) </v>
      </c>
      <c r="F17" s="110"/>
    </row>
    <row r="18" spans="4:6">
      <c r="D18" s="152" t="str">
        <f>IF(TS_Periodicity=Annual,Fcast_TA!P$7,Fcast_TA!P$6)</f>
        <v xml:space="preserve">2016 (F) </v>
      </c>
      <c r="F18" s="110"/>
    </row>
    <row r="19" spans="4:6">
      <c r="D19" s="152" t="str">
        <f>IF(TS_Periodicity=Annual,Fcast_TA!Q$7,Fcast_TA!Q$6)</f>
        <v xml:space="preserve">2017 (F) </v>
      </c>
      <c r="F19" s="110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2" tooltip="Go to Previous Sheet" display="HL_Sheet_Main_4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194</v>
      </c>
    </row>
    <row r="10" spans="3:7" ht="16.5">
      <c r="C10" s="24" t="s">
        <v>108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326</v>
      </c>
    </row>
    <row r="18" spans="3:3">
      <c r="C18" s="23" t="s">
        <v>191</v>
      </c>
    </row>
    <row r="19" spans="3:3">
      <c r="C19" s="23" t="s">
        <v>192</v>
      </c>
    </row>
    <row r="20" spans="3:3">
      <c r="C20" s="23" t="s">
        <v>195</v>
      </c>
    </row>
  </sheetData>
  <mergeCells count="1">
    <mergeCell ref="C12:G12"/>
  </mergeCells>
  <hyperlinks>
    <hyperlink ref="C12" location="HL_Home" tooltip="Go to Table of Contents" display="HL_Home"/>
    <hyperlink ref="C13" location="HL_Sheet_Main_24" tooltip="Go to Previous Sheet" display="HL_Sheet_Main_24"/>
    <hyperlink ref="D13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118</v>
      </c>
    </row>
    <row r="10" spans="3:7" ht="16.5">
      <c r="C10" s="24" t="s">
        <v>109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327</v>
      </c>
    </row>
    <row r="18" spans="3:3">
      <c r="C18" s="23" t="s">
        <v>119</v>
      </c>
    </row>
    <row r="19" spans="3:3">
      <c r="C19" s="23" t="s">
        <v>196</v>
      </c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21" tooltip="Go to Next Sheet" display="HL_Sheet_Main_2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AO30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2.33203125" defaultRowHeight="10.5"/>
  <cols>
    <col min="1" max="1" width="3.83203125" style="25" customWidth="1"/>
    <col min="2" max="2" width="2.33203125" style="25" customWidth="1"/>
    <col min="3" max="16384" width="2.33203125" style="25"/>
  </cols>
  <sheetData>
    <row r="1" spans="1:41" ht="18">
      <c r="B1" s="27" t="s">
        <v>397</v>
      </c>
    </row>
    <row r="2" spans="1:41" ht="15">
      <c r="B2" s="26" t="str">
        <f>Model_Name</f>
        <v>SMA 13. Multiple Workbooks - Practical Training Exercise 1 (Alert in Ordinary Equity - Outputs)</v>
      </c>
    </row>
    <row r="3" spans="1:41">
      <c r="B3" s="243" t="s">
        <v>48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</row>
    <row r="4" spans="1:41" ht="12.75">
      <c r="A4" s="28" t="s">
        <v>51</v>
      </c>
      <c r="B4" s="247" t="s">
        <v>53</v>
      </c>
      <c r="C4" s="247"/>
      <c r="D4" s="248" t="s">
        <v>102</v>
      </c>
      <c r="E4" s="248"/>
      <c r="F4" s="249" t="s">
        <v>120</v>
      </c>
      <c r="G4" s="249"/>
      <c r="H4" s="249" t="s">
        <v>121</v>
      </c>
      <c r="I4" s="249"/>
      <c r="J4" s="249" t="s">
        <v>122</v>
      </c>
      <c r="K4" s="249"/>
    </row>
    <row r="7" spans="1:41">
      <c r="V7" s="250" t="s">
        <v>407</v>
      </c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</row>
    <row r="8" spans="1:41"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</row>
    <row r="9" spans="1:41">
      <c r="V9" s="184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6"/>
    </row>
    <row r="10" spans="1:41">
      <c r="V10" s="187"/>
      <c r="W10" s="188" t="s">
        <v>398</v>
      </c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90"/>
    </row>
    <row r="11" spans="1:41">
      <c r="V11" s="187"/>
      <c r="W11" s="191" t="s">
        <v>399</v>
      </c>
      <c r="X11" s="192" t="s">
        <v>400</v>
      </c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0"/>
    </row>
    <row r="12" spans="1:41">
      <c r="V12" s="187"/>
      <c r="W12" s="193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0"/>
    </row>
    <row r="13" spans="1:41">
      <c r="V13" s="187"/>
      <c r="W13" s="188" t="s">
        <v>401</v>
      </c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0"/>
    </row>
    <row r="14" spans="1:41">
      <c r="V14" s="187"/>
      <c r="W14" s="191" t="s">
        <v>399</v>
      </c>
      <c r="X14" s="244" t="s">
        <v>420</v>
      </c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190"/>
    </row>
    <row r="15" spans="1:41">
      <c r="V15" s="187"/>
      <c r="W15" s="191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190"/>
    </row>
    <row r="16" spans="1:41">
      <c r="V16" s="187"/>
      <c r="W16" s="189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190"/>
    </row>
    <row r="17" spans="22:41">
      <c r="V17" s="194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6"/>
    </row>
    <row r="18" spans="22:41">
      <c r="AG18" s="239" t="s">
        <v>399</v>
      </c>
      <c r="AH18" s="241" t="s">
        <v>402</v>
      </c>
      <c r="AI18" s="241"/>
      <c r="AJ18" s="241"/>
      <c r="AK18" s="241"/>
      <c r="AL18" s="241"/>
      <c r="AM18" s="241"/>
      <c r="AN18" s="241"/>
      <c r="AO18" s="241"/>
    </row>
    <row r="19" spans="22:41">
      <c r="AG19" s="240"/>
      <c r="AH19" s="242"/>
      <c r="AI19" s="242"/>
      <c r="AJ19" s="242"/>
      <c r="AK19" s="242"/>
      <c r="AL19" s="242"/>
      <c r="AM19" s="242"/>
      <c r="AN19" s="242"/>
      <c r="AO19" s="242"/>
    </row>
    <row r="20" spans="22:41">
      <c r="AG20" s="240"/>
      <c r="AH20" s="242"/>
      <c r="AI20" s="242"/>
      <c r="AJ20" s="242"/>
      <c r="AK20" s="242"/>
      <c r="AL20" s="242"/>
      <c r="AM20" s="242"/>
      <c r="AN20" s="242"/>
      <c r="AO20" s="242"/>
    </row>
    <row r="21" spans="22:41">
      <c r="AG21" s="240"/>
      <c r="AH21" s="242"/>
      <c r="AI21" s="242"/>
      <c r="AJ21" s="242"/>
      <c r="AK21" s="242"/>
      <c r="AL21" s="242"/>
      <c r="AM21" s="242"/>
      <c r="AN21" s="242"/>
      <c r="AO21" s="242"/>
    </row>
    <row r="22" spans="22:41">
      <c r="V22" s="245" t="s">
        <v>408</v>
      </c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</row>
    <row r="23" spans="22:41"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</row>
    <row r="24" spans="22:41">
      <c r="V24" s="197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9"/>
    </row>
    <row r="25" spans="22:41">
      <c r="V25" s="200"/>
      <c r="W25" s="201" t="s">
        <v>398</v>
      </c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3"/>
    </row>
    <row r="26" spans="22:41">
      <c r="V26" s="200"/>
      <c r="W26" s="204" t="s">
        <v>399</v>
      </c>
      <c r="X26" s="202" t="s">
        <v>403</v>
      </c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3"/>
    </row>
    <row r="27" spans="22:41">
      <c r="V27" s="200"/>
      <c r="W27" s="205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3"/>
    </row>
    <row r="28" spans="22:41">
      <c r="V28" s="200"/>
      <c r="W28" s="201" t="s">
        <v>401</v>
      </c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3"/>
    </row>
    <row r="29" spans="22:41" ht="10.5" customHeight="1">
      <c r="V29" s="200"/>
      <c r="W29" s="204" t="s">
        <v>399</v>
      </c>
      <c r="X29" s="238" t="s">
        <v>419</v>
      </c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03"/>
    </row>
    <row r="30" spans="22:41">
      <c r="V30" s="206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8"/>
    </row>
  </sheetData>
  <mergeCells count="12">
    <mergeCell ref="X29:AN29"/>
    <mergeCell ref="AG18:AG21"/>
    <mergeCell ref="AH18:AO21"/>
    <mergeCell ref="B3:L3"/>
    <mergeCell ref="X14:AN16"/>
    <mergeCell ref="V22:AO23"/>
    <mergeCell ref="B4:C4"/>
    <mergeCell ref="D4:E4"/>
    <mergeCell ref="F4:G4"/>
    <mergeCell ref="H4:I4"/>
    <mergeCell ref="J4:K4"/>
    <mergeCell ref="V7:AO8"/>
  </mergeCells>
  <hyperlinks>
    <hyperlink ref="B3" location="HL_Home" tooltip="Go to Table of Contents" display="HL_Home"/>
    <hyperlink ref="A4" location="$B$5" tooltip="Go to Top of Sheet" display="$B$5"/>
    <hyperlink ref="D4" location="HL_Sheet_Main_11" tooltip="Go to Next Sheet" display="HL_Sheet_Main_11"/>
    <hyperlink ref="B4" location="HL_Sheet_Main_3" tooltip="Go to Previous Sheet" display="HL_Sheet_Main_3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264</v>
      </c>
    </row>
    <row r="10" spans="3:7" ht="16.5">
      <c r="C10" s="24" t="s">
        <v>114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326</v>
      </c>
    </row>
    <row r="18" spans="3:3">
      <c r="C18" s="23" t="s">
        <v>255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21" tooltip="Go to Previous Sheet" display="HL_Sheet_Main_21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199</v>
      </c>
    </row>
    <row r="10" spans="3:7" ht="16.5">
      <c r="C10" s="24" t="s">
        <v>373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365</v>
      </c>
    </row>
    <row r="18" spans="3:3">
      <c r="C18" s="171" t="s">
        <v>366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1" tooltip="Go to Previous Sheet" display="HL_Sheet_Main_11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style="17" customWidth="1"/>
    <col min="6" max="256" width="11.83203125" style="17" customWidth="1"/>
    <col min="257" max="16384" width="9.33203125" style="17"/>
  </cols>
  <sheetData>
    <row r="1" spans="1:11" ht="18">
      <c r="B1" s="36" t="s">
        <v>199</v>
      </c>
    </row>
    <row r="2" spans="1:11" ht="15">
      <c r="B2" s="35" t="str">
        <f>Model_Name</f>
        <v>SMA 13. Multiple Workbooks - Practical Training Exercise 1 (Alert in Ordinary Equity - Outputs)</v>
      </c>
    </row>
    <row r="3" spans="1:11">
      <c r="B3" s="251" t="s">
        <v>48</v>
      </c>
      <c r="C3" s="251"/>
      <c r="D3" s="251"/>
      <c r="E3" s="251"/>
      <c r="F3" s="251"/>
    </row>
    <row r="4" spans="1:11" ht="12.75">
      <c r="A4" s="37" t="s">
        <v>51</v>
      </c>
      <c r="B4" s="38" t="s">
        <v>53</v>
      </c>
      <c r="C4" s="39" t="s">
        <v>102</v>
      </c>
      <c r="D4" s="76" t="s">
        <v>120</v>
      </c>
      <c r="E4" s="76" t="s">
        <v>121</v>
      </c>
      <c r="F4" s="40" t="s">
        <v>122</v>
      </c>
    </row>
    <row r="7" spans="1:11" ht="12.75">
      <c r="B7" s="41" t="s">
        <v>199</v>
      </c>
    </row>
    <row r="9" spans="1:11" ht="11.25">
      <c r="C9" s="42" t="s">
        <v>217</v>
      </c>
    </row>
    <row r="11" spans="1:11">
      <c r="D11" s="43" t="s">
        <v>218</v>
      </c>
      <c r="J11" s="252" t="s">
        <v>104</v>
      </c>
      <c r="K11" s="252"/>
    </row>
    <row r="12" spans="1:11">
      <c r="D12" s="43" t="s">
        <v>210</v>
      </c>
      <c r="J12" s="253" t="str">
        <f>Annual</f>
        <v>Annual</v>
      </c>
      <c r="K12" s="253"/>
    </row>
    <row r="13" spans="1:11" ht="15.75" customHeight="1">
      <c r="D13" s="43" t="s">
        <v>219</v>
      </c>
      <c r="J13" s="47">
        <v>31</v>
      </c>
      <c r="K13" s="47">
        <v>12</v>
      </c>
    </row>
    <row r="14" spans="1:11">
      <c r="D14" s="43" t="s">
        <v>220</v>
      </c>
      <c r="J14" s="255">
        <v>40179</v>
      </c>
      <c r="K14" s="256"/>
    </row>
    <row r="15" spans="1:11">
      <c r="D15" s="43" t="s">
        <v>221</v>
      </c>
      <c r="J15" s="257">
        <v>10</v>
      </c>
      <c r="K15" s="257"/>
    </row>
    <row r="16" spans="1:11" ht="10.5" hidden="1" customHeight="1" outlineLevel="2">
      <c r="D16" s="43" t="s">
        <v>222</v>
      </c>
      <c r="J16" s="253" t="str">
        <f>INDEX(LU_Period_Type_Names,MATCH(TS_Periodicity,LU_Periodicity,0))</f>
        <v>Year</v>
      </c>
      <c r="K16" s="253"/>
    </row>
    <row r="17" spans="3:11" ht="10.5" hidden="1" customHeight="1" outlineLevel="2">
      <c r="D17" s="43" t="s">
        <v>223</v>
      </c>
      <c r="J17" s="258" t="str">
        <f>CHOOSE(MATCH(TS_Periodicity,LU_Periodicity,0),Yr_Name,"H","Q","M")</f>
        <v>Year</v>
      </c>
      <c r="K17" s="258"/>
    </row>
    <row r="18" spans="3:11" ht="10.5" hidden="1" customHeight="1" outlineLevel="2">
      <c r="D18" s="43" t="s">
        <v>224</v>
      </c>
      <c r="J18" s="258" t="b">
        <f>OR(AND(DD_TS_Fin_YE_Day&gt;=28,DD_TS_Fin_YE_Mth=2),
DD_TS_Fin_YE_Day&gt;=DAY(EOMONTH(DATE(YEAR(TS_Start_Date),DD_TS_Fin_YE_Mth,1),0)))</f>
        <v>1</v>
      </c>
      <c r="K18" s="258"/>
    </row>
    <row r="19" spans="3:11" ht="10.5" hidden="1" customHeight="1" outlineLevel="2">
      <c r="D19" s="43" t="s">
        <v>225</v>
      </c>
      <c r="J19" s="254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254"/>
    </row>
    <row r="20" spans="3:11" ht="10.5" hidden="1" customHeight="1" outlineLevel="2">
      <c r="D20" s="43" t="s">
        <v>226</v>
      </c>
      <c r="J20" s="254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254"/>
    </row>
    <row r="21" spans="3:11" ht="10.5" hidden="1" customHeight="1" outlineLevel="2">
      <c r="D21" s="43" t="s">
        <v>215</v>
      </c>
      <c r="J21" s="259">
        <f>INDEX(LU_Pers_In_Yr,MATCH(TS_Periodicity,LU_Periodicity,0))</f>
        <v>1</v>
      </c>
      <c r="K21" s="259"/>
    </row>
    <row r="22" spans="3:11" ht="10.5" hidden="1" customHeight="1" outlineLevel="2">
      <c r="D22" s="43" t="s">
        <v>227</v>
      </c>
      <c r="J22" s="259">
        <f>Mths_In_Yr/TS_Pers_In_Yr</f>
        <v>12</v>
      </c>
      <c r="K22" s="259"/>
    </row>
    <row r="23" spans="3:11" ht="10.5" hidden="1" customHeight="1" outlineLevel="2">
      <c r="D23" s="43" t="s">
        <v>228</v>
      </c>
      <c r="J23" s="259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259"/>
    </row>
    <row r="24" spans="3:11" ht="10.5" hidden="1" customHeight="1" outlineLevel="2">
      <c r="D24" s="43" t="s">
        <v>229</v>
      </c>
      <c r="J24" s="254">
        <f>IF(TS_Mth_End,EOMONTH(EDATE(TS_Per_1_FY_Start_Date,(TS_Per_1_Number-1)*TS_Mths_In_Per-1),0)+1,
EDATE(TS_Per_1_FY_Start_Date,(TS_Per_1_Number-1)*TS_Mths_In_Per))</f>
        <v>40179</v>
      </c>
      <c r="K24" s="254"/>
    </row>
    <row r="25" spans="3:11" ht="10.5" hidden="1" customHeight="1" outlineLevel="2">
      <c r="D25" s="43" t="s">
        <v>103</v>
      </c>
      <c r="J25" s="254">
        <f>IF(TS_Mth_End,EOMONTH(EDATE(TS_Per_1_FY_Start_Date,TS_Per_1_Number*TS_Mths_In_Per-1),0),
EDATE(TS_Per_1_FY_Start_Date,TS_Per_1_Number*TS_Mths_In_Per)-1)</f>
        <v>40543</v>
      </c>
      <c r="K25" s="254"/>
    </row>
    <row r="26" spans="3:11" ht="15.75" customHeight="1" collapsed="1">
      <c r="D26" s="43" t="s">
        <v>87</v>
      </c>
      <c r="J26" s="260">
        <v>2</v>
      </c>
      <c r="K26" s="261"/>
    </row>
    <row r="27" spans="3:11" ht="10.5" hidden="1" customHeight="1" outlineLevel="2">
      <c r="D27" s="43" t="s">
        <v>230</v>
      </c>
      <c r="J27" s="253" t="str">
        <f>INDEX(LU_Denom,DD_TS_Denom)</f>
        <v>$Millions</v>
      </c>
      <c r="K27" s="253"/>
    </row>
    <row r="28" spans="3:11" collapsed="1"/>
    <row r="29" spans="3:11" ht="11.25">
      <c r="C29" s="42" t="s">
        <v>231</v>
      </c>
    </row>
    <row r="31" spans="3:11" ht="17.25" customHeight="1">
      <c r="D31" s="43" t="s">
        <v>232</v>
      </c>
      <c r="J31" s="260" t="b">
        <v>1</v>
      </c>
      <c r="K31" s="261"/>
    </row>
    <row r="32" spans="3:11">
      <c r="D32" s="43" t="s">
        <v>233</v>
      </c>
      <c r="J32" s="262">
        <v>0</v>
      </c>
      <c r="K32" s="263"/>
    </row>
    <row r="33" spans="3:11">
      <c r="D33" s="43" t="s">
        <v>234</v>
      </c>
      <c r="J33" s="262">
        <v>0</v>
      </c>
      <c r="K33" s="263"/>
    </row>
    <row r="34" spans="3:11" ht="10.5" hidden="1" customHeight="1" outlineLevel="2">
      <c r="D34" s="43" t="s">
        <v>235</v>
      </c>
      <c r="J34" s="264" t="s">
        <v>252</v>
      </c>
      <c r="K34" s="265"/>
    </row>
    <row r="35" spans="3:11" ht="10.5" hidden="1" customHeight="1" outlineLevel="2">
      <c r="D35" s="43" t="s">
        <v>236</v>
      </c>
      <c r="J35" s="264" t="s">
        <v>253</v>
      </c>
      <c r="K35" s="265"/>
    </row>
    <row r="36" spans="3:11" ht="10.5" hidden="1" customHeight="1" outlineLevel="2">
      <c r="D36" s="43" t="s">
        <v>237</v>
      </c>
      <c r="J36" s="264" t="s">
        <v>254</v>
      </c>
      <c r="K36" s="265"/>
    </row>
    <row r="37" spans="3:11" collapsed="1"/>
    <row r="38" spans="3:11" ht="11.25">
      <c r="C38" s="42" t="s">
        <v>238</v>
      </c>
    </row>
    <row r="40" spans="3:11" ht="15.75" customHeight="1">
      <c r="D40" s="43" t="s">
        <v>206</v>
      </c>
      <c r="J40" s="260">
        <v>1</v>
      </c>
      <c r="K40" s="261"/>
    </row>
    <row r="41" spans="3:11">
      <c r="D41" s="43" t="s">
        <v>239</v>
      </c>
      <c r="J41" s="262">
        <v>3</v>
      </c>
      <c r="K41" s="263"/>
    </row>
    <row r="42" spans="3:11">
      <c r="D42" s="43" t="s">
        <v>240</v>
      </c>
      <c r="J42" s="255">
        <v>41275</v>
      </c>
      <c r="K42" s="256"/>
    </row>
    <row r="43" spans="3:11" hidden="1" outlineLevel="2"/>
    <row r="44" spans="3:11" hidden="1" outlineLevel="2">
      <c r="D44" s="44" t="s">
        <v>241</v>
      </c>
    </row>
    <row r="45" spans="3:11" hidden="1" outlineLevel="2"/>
    <row r="46" spans="3:11" ht="10.5" hidden="1" customHeight="1" outlineLevel="2">
      <c r="E46" s="43" t="s">
        <v>242</v>
      </c>
      <c r="J46" s="254">
        <f>TS_Proj_Start_Date-1</f>
        <v>41274</v>
      </c>
      <c r="K46" s="254"/>
    </row>
    <row r="47" spans="3:11" ht="10.5" hidden="1" customHeight="1" outlineLevel="2">
      <c r="E47" s="43" t="s">
        <v>243</v>
      </c>
      <c r="J47" s="266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266"/>
    </row>
    <row r="48" spans="3:11" ht="10.5" hidden="1" customHeight="1" outlineLevel="2">
      <c r="E48" s="43" t="s">
        <v>244</v>
      </c>
      <c r="J48" s="259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259"/>
    </row>
    <row r="49" spans="3:11" ht="10.5" hidden="1" customHeight="1" outlineLevel="2">
      <c r="E49" s="43" t="s">
        <v>245</v>
      </c>
      <c r="J49" s="253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253"/>
    </row>
    <row r="50" spans="3:11" hidden="1" outlineLevel="2"/>
    <row r="51" spans="3:11" hidden="1" outlineLevel="2">
      <c r="D51" s="44" t="s">
        <v>246</v>
      </c>
    </row>
    <row r="52" spans="3:11" hidden="1" outlineLevel="2"/>
    <row r="53" spans="3:11" ht="10.5" hidden="1" customHeight="1" outlineLevel="2">
      <c r="E53" s="43" t="s">
        <v>247</v>
      </c>
      <c r="J53" s="254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254"/>
    </row>
    <row r="54" spans="3:11" ht="10.5" hidden="1" customHeight="1" outlineLevel="2">
      <c r="E54" s="43" t="s">
        <v>225</v>
      </c>
      <c r="J54" s="254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254"/>
    </row>
    <row r="55" spans="3:11" ht="10.5" hidden="1" customHeight="1" outlineLevel="2">
      <c r="E55" s="43" t="s">
        <v>226</v>
      </c>
      <c r="J55" s="254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254"/>
    </row>
    <row r="56" spans="3:11" ht="10.5" hidden="1" customHeight="1" outlineLevel="2">
      <c r="E56" s="43" t="s">
        <v>228</v>
      </c>
      <c r="J56" s="259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259"/>
    </row>
    <row r="57" spans="3:11" ht="10.5" hidden="1" customHeight="1" outlineLevel="2">
      <c r="E57" s="43" t="s">
        <v>229</v>
      </c>
      <c r="J57" s="254">
        <f>IF(TS_Mth_End,EOMONTH(EDATE(TS_Proj_Per_1_FY_Start_Date,(TS_Proj_Per_1_Number-1)*TS_Mths_In_Per-1),0)+
1,EDATE(TS_Proj_Per_1_FY_Start_Date,(TS_Proj_Per_1_Number-1)*TS_Mths_In_Per))</f>
        <v>41275</v>
      </c>
      <c r="K57" s="254"/>
    </row>
    <row r="58" spans="3:11" ht="10.5" hidden="1" customHeight="1" outlineLevel="2">
      <c r="E58" s="43" t="s">
        <v>103</v>
      </c>
      <c r="J58" s="254">
        <f>IF(TS_Mth_End,EOMONTH(EDATE(TS_Proj_Per_1_FY_Start_Date,TS_Proj_Per_1_Number*TS_Mths_In_Per-1),0),
EDATE(TS_Proj_Per_1_FY_Start_Date,TS_Proj_Per_1_Number*TS_Mths_In_Per)-1)</f>
        <v>41639</v>
      </c>
      <c r="K58" s="254"/>
    </row>
    <row r="59" spans="3:11" collapsed="1"/>
    <row r="60" spans="3:11">
      <c r="C60" s="44" t="s">
        <v>118</v>
      </c>
    </row>
    <row r="61" spans="3:11">
      <c r="C61" s="45" t="s">
        <v>117</v>
      </c>
      <c r="D61" s="43" t="s">
        <v>248</v>
      </c>
    </row>
    <row r="62" spans="3:11">
      <c r="C62" s="45" t="s">
        <v>117</v>
      </c>
      <c r="D62" s="43" t="s">
        <v>249</v>
      </c>
    </row>
    <row r="63" spans="3:11">
      <c r="C63" s="45" t="s">
        <v>117</v>
      </c>
      <c r="D63" s="43" t="s">
        <v>250</v>
      </c>
    </row>
    <row r="64" spans="3:11">
      <c r="C64" s="45" t="s">
        <v>117</v>
      </c>
      <c r="D64" s="46" t="s">
        <v>251</v>
      </c>
    </row>
    <row r="65" spans="3:4">
      <c r="C65" s="45" t="s">
        <v>117</v>
      </c>
      <c r="D65" s="46" t="s">
        <v>388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68" priority="1" stopIfTrue="1">
      <formula>NOT(J$31)</formula>
    </cfRule>
  </conditionalFormatting>
  <conditionalFormatting sqref="J33">
    <cfRule type="expression" dxfId="67" priority="2" stopIfTrue="1">
      <formula>NOT(J$31)</formula>
    </cfRule>
  </conditionalFormatting>
  <conditionalFormatting sqref="J34">
    <cfRule type="expression" dxfId="66" priority="3" stopIfTrue="1">
      <formula>NOT(J$31)</formula>
    </cfRule>
  </conditionalFormatting>
  <conditionalFormatting sqref="J35">
    <cfRule type="expression" dxfId="65" priority="4" stopIfTrue="1">
      <formula>NOT(J$31)</formula>
    </cfRule>
  </conditionalFormatting>
  <conditionalFormatting sqref="J36">
    <cfRule type="expression" dxfId="64" priority="5" stopIfTrue="1">
      <formula>NOT(J$31)</formula>
    </cfRule>
  </conditionalFormatting>
  <conditionalFormatting sqref="J41">
    <cfRule type="expression" dxfId="63" priority="6" stopIfTrue="1">
      <formula>DD_TS_Data_Term_Basis&lt;&gt;1</formula>
    </cfRule>
  </conditionalFormatting>
  <conditionalFormatting sqref="J42">
    <cfRule type="expression" dxfId="62" priority="7" stopIfTrue="1">
      <formula>DD_TS_Data_Term_Basis&lt;&gt;2</formula>
    </cfRule>
    <cfRule type="cellIs" dxfId="61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367</v>
      </c>
    </row>
    <row r="10" spans="3:7" ht="16.5">
      <c r="C10" s="24" t="s">
        <v>375</v>
      </c>
    </row>
    <row r="11" spans="3:7" ht="15">
      <c r="C11" s="2" t="str">
        <f>Model_Name</f>
        <v>SMA 13. Multiple Workbooks - Practical Training Exercise 1 (Alert in Ordinary Equity - Outputs)</v>
      </c>
    </row>
    <row r="12" spans="3:7">
      <c r="C12" s="230" t="s">
        <v>48</v>
      </c>
      <c r="D12" s="230"/>
      <c r="E12" s="230"/>
      <c r="F12" s="230"/>
      <c r="G12" s="230"/>
    </row>
    <row r="13" spans="3:7" ht="12.75">
      <c r="C13" s="9" t="s">
        <v>53</v>
      </c>
      <c r="D13" s="10" t="s">
        <v>102</v>
      </c>
    </row>
    <row r="17" spans="3:3">
      <c r="C17" s="22" t="s">
        <v>365</v>
      </c>
    </row>
    <row r="18" spans="3:3">
      <c r="C18" s="171" t="s">
        <v>368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135</vt:i4>
      </vt:variant>
    </vt:vector>
  </HeadingPairs>
  <TitlesOfParts>
    <vt:vector size="162" baseType="lpstr">
      <vt:lpstr>Cover</vt:lpstr>
      <vt:lpstr>Contents</vt:lpstr>
      <vt:lpstr>Overview_SC</vt:lpstr>
      <vt:lpstr>Notes_SSC</vt:lpstr>
      <vt:lpstr>Linked_Workbooks_Diagram_MS</vt:lpstr>
      <vt:lpstr>Assumptions_SC</vt:lpstr>
      <vt:lpstr>TS_Ass_SSC</vt:lpstr>
      <vt:lpstr>TS_BA</vt:lpstr>
      <vt:lpstr>Fcast_Ass_SSC</vt:lpstr>
      <vt:lpstr>Fcast_TA</vt:lpstr>
      <vt:lpstr>Base_OP_SC</vt:lpstr>
      <vt:lpstr>Fcast_OP_SSC</vt:lpstr>
      <vt:lpstr>Fcast_TO</vt:lpstr>
      <vt:lpstr>FS_OP_SSC</vt:lpstr>
      <vt:lpstr>IS_TO</vt:lpstr>
      <vt:lpstr>BS_TO</vt:lpstr>
      <vt:lpstr>CFS_TO</vt:lpstr>
      <vt:lpstr>Dashboards_SSC</vt:lpstr>
      <vt:lpstr>BS_Sum_P_MS</vt:lpstr>
      <vt:lpstr>Appendices_SC</vt:lpstr>
      <vt:lpstr>Model_Imports_SSC</vt:lpstr>
      <vt:lpstr>Checks_SSC</vt:lpstr>
      <vt:lpstr>Checks_BO</vt:lpstr>
      <vt:lpstr>LU_SSC</vt:lpstr>
      <vt:lpstr>TS_LU</vt:lpstr>
      <vt:lpstr>Capital_LU</vt:lpstr>
      <vt:lpstr>Dashboards_LU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CB_Eq_Ord_Cash_Limit_Div</vt:lpstr>
      <vt:lpstr>CB_Eq_Ord_Inc_Open_RP_In_NPAT</vt:lpstr>
      <vt:lpstr>CB_Err_Chks_Show_Msg</vt:lpstr>
      <vt:lpstr>CB_Sens_Chks_Show_Msg</vt:lpstr>
      <vt:lpstr>CB_TS_Show_Hist_Fcast_Pers</vt:lpstr>
      <vt:lpstr>Currency</vt:lpstr>
      <vt:lpstr>DD_Eq_Ord_Div_Meth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LI_Tax_Base_Nom_Opex_Base_Nom_Cat_1</vt:lpstr>
      <vt:lpstr>LO_BS_Base_Nom_OP_Cash_Open</vt:lpstr>
      <vt:lpstr>LU_Dashboard_Selected_Period</vt:lpstr>
      <vt:lpstr>LU_Data_Term_Basis</vt:lpstr>
      <vt:lpstr>LU_Denom</vt:lpstr>
      <vt:lpstr>LU_Eq_Ord_Div_Meth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Base_OP_SC!Print_Area</vt:lpstr>
      <vt:lpstr>BS_Sum_P_MS!Print_Area</vt:lpstr>
      <vt:lpstr>BS_TO!Print_Area</vt:lpstr>
      <vt:lpstr>Capital_LU!Print_Area</vt:lpstr>
      <vt:lpstr>CFS_TO!Print_Area</vt:lpstr>
      <vt:lpstr>Checks_BO!Print_Area</vt:lpstr>
      <vt:lpstr>Checks_SSC!Print_Area</vt:lpstr>
      <vt:lpstr>Contents!Print_Area</vt:lpstr>
      <vt:lpstr>Cover!Print_Area</vt:lpstr>
      <vt:lpstr>Dashboards_LU!Print_Area</vt:lpstr>
      <vt:lpstr>Dashboards_SSC!Print_Area</vt:lpstr>
      <vt:lpstr>Fcast_Ass_SSC!Print_Area</vt:lpstr>
      <vt:lpstr>Fcast_OP_SSC!Print_Area</vt:lpstr>
      <vt:lpstr>Fcast_TA!Print_Area</vt:lpstr>
      <vt:lpstr>Fcast_TO!Print_Area</vt:lpstr>
      <vt:lpstr>FS_OP_SSC!Print_Area</vt:lpstr>
      <vt:lpstr>IS_TO!Print_Area</vt:lpstr>
      <vt:lpstr>Linked_Workbooks_Diagram_MS!Print_Area</vt:lpstr>
      <vt:lpstr>LU_SSC!Print_Area</vt:lpstr>
      <vt:lpstr>Model_Imports_SSC!Print_Area</vt:lpstr>
      <vt:lpstr>Notes_SSC!Print_Area</vt:lpstr>
      <vt:lpstr>Overview_SC!Print_Area</vt:lpstr>
      <vt:lpstr>TS_Ass_SSC!Print_Area</vt:lpstr>
      <vt:lpstr>TS_BA!Print_Area</vt:lpstr>
      <vt:lpstr>TS_LU!Print_Area</vt:lpstr>
      <vt:lpstr>BS_TO!Print_Titles</vt:lpstr>
      <vt:lpstr>CFS_TO!Print_Titles</vt:lpstr>
      <vt:lpstr>Checks_BO!Print_Titles</vt:lpstr>
      <vt:lpstr>Contents!Print_Titles</vt:lpstr>
      <vt:lpstr>Fcast_TA!Print_Titles</vt:lpstr>
      <vt:lpstr>Fcast_TO!Print_Titles</vt:lpstr>
      <vt:lpstr>IS_TO!Print_Titles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BPM Analytical Empowerment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2010-06-16T05:51:10Z</cp:lastPrinted>
  <dcterms:created xsi:type="dcterms:W3CDTF">2006-03-09T22:44:34Z</dcterms:created>
  <dcterms:modified xsi:type="dcterms:W3CDTF">2010-11-30T01:16:24Z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