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harts/chart4.xml" ContentType="application/vnd.openxmlformats-officedocument.drawingml.char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harts/chart2.xml" ContentType="application/vnd.openxmlformats-officedocument.drawingml.chart+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bookViews>
    <workbookView xWindow="360" yWindow="90" windowWidth="12930" windowHeight="6870" tabRatio="950"/>
  </bookViews>
  <sheets>
    <sheet name="Cover" sheetId="177" r:id="rId1"/>
    <sheet name="Contents" sheetId="176" r:id="rId2"/>
    <sheet name="Overview_SC" sheetId="123" r:id="rId3"/>
    <sheet name="Notes_SSC" sheetId="124" r:id="rId4"/>
    <sheet name="Notes_BO" sheetId="122" r:id="rId5"/>
    <sheet name="Keys_SSC" sheetId="127" r:id="rId6"/>
    <sheet name="Keys_BO" sheetId="128" r:id="rId7"/>
    <sheet name="Assumptions_SC" sheetId="132" r:id="rId8"/>
    <sheet name="TS_Ass_SSC" sheetId="183" r:id="rId9"/>
    <sheet name="TS_BA" sheetId="131" r:id="rId10"/>
    <sheet name="Hist_Ass_SSC" sheetId="189" r:id="rId11"/>
    <sheet name="IS_Hist_TA" sheetId="190" r:id="rId12"/>
    <sheet name="BS_Hist_TA" sheetId="191" r:id="rId13"/>
    <sheet name="CFS_Hist_TA" sheetId="192" r:id="rId14"/>
    <sheet name="Fcast_Ass_SSC" sheetId="184" r:id="rId15"/>
    <sheet name="Fcast_TA" sheetId="193" r:id="rId16"/>
    <sheet name="Outputs_SC" sheetId="137" r:id="rId17"/>
    <sheet name="Hist_OP_SSC" sheetId="194" r:id="rId18"/>
    <sheet name="IS_Hist_TO" sheetId="195" r:id="rId19"/>
    <sheet name="BS_Hist_TO" sheetId="196" r:id="rId20"/>
    <sheet name="CFS_Hist_TO" sheetId="197" r:id="rId21"/>
    <sheet name="Fcast_OP_SSC" sheetId="186" r:id="rId22"/>
    <sheet name="Fcast_OP_TO" sheetId="199" r:id="rId23"/>
    <sheet name="IS_Fcast_TO" sheetId="161" r:id="rId24"/>
    <sheet name="BS_Fcast_TO" sheetId="162" r:id="rId25"/>
    <sheet name="CFS_Fcast_TO" sheetId="163" r:id="rId26"/>
    <sheet name="All_Pers_OP_SSC" sheetId="187" r:id="rId27"/>
    <sheet name="IS_All_TO" sheetId="201" r:id="rId28"/>
    <sheet name="BS_All_TO" sheetId="202" r:id="rId29"/>
    <sheet name="CFS_All_TO" sheetId="203" r:id="rId30"/>
    <sheet name="Dashboards_SSC" sheetId="188" r:id="rId31"/>
    <sheet name="BS_Sum_P_MS" sheetId="180" r:id="rId32"/>
    <sheet name="Appendices_SC" sheetId="168" r:id="rId33"/>
    <sheet name="Checks_SSC" sheetId="134" r:id="rId34"/>
    <sheet name="Checks_BO" sheetId="135" r:id="rId35"/>
    <sheet name="LU_SSC" sheetId="169" r:id="rId36"/>
    <sheet name="TS_LU" sheetId="130" r:id="rId37"/>
    <sheet name="Capital_LU" sheetId="174" r:id="rId38"/>
    <sheet name="Dashboards_LU" sheetId="182" r:id="rId39"/>
  </sheets>
  <definedNames>
    <definedName name="Alt_Chk_1_Hdg" hidden="1">BS_Hist_TA!$B$1</definedName>
    <definedName name="Alt_Chk_11_Hdg" hidden="1">Fcast_TA!$C$79</definedName>
    <definedName name="Alt_Chk_12_Hdg" hidden="1">Fcast_TA!$B$106</definedName>
    <definedName name="Alt_Chk_14_Hdg" hidden="1">BS_Fcast_TO!$B$1</definedName>
    <definedName name="Alt_Chk_15_Hdg" hidden="1">Fcast_OP_TO!$C$117</definedName>
    <definedName name="Alt_Chk_2_Hdg" hidden="1">BS_Hist_TO!$B$1</definedName>
    <definedName name="Alt_Chk_4_Hdg" hidden="1">Fcast_OP_TO!$B$16</definedName>
    <definedName name="Alt_Chks_Msg">Checks_BO!$I$55</definedName>
    <definedName name="Alt_Chks_Ttl_Areas">Checks_BO!$M$66</definedName>
    <definedName name="Annual">TS_LU!$D$77</definedName>
    <definedName name="BA_Alt_Chks" hidden="1">Checks_BO!$46:$66</definedName>
    <definedName name="BA_Err_Chks" hidden="1">Checks_BO!$5:$29</definedName>
    <definedName name="BA_Formats_Styles" hidden="1">Keys_BO!$5:$51</definedName>
    <definedName name="BA_LU" hidden="1">TS_LU!$5:$105</definedName>
    <definedName name="BA_Range_Naming" hidden="1">Keys_BO!$104:$137</definedName>
    <definedName name="BA_Sens_Chks" hidden="1">Checks_BO!$30:$45</definedName>
    <definedName name="BA_Sheet_Naming" hidden="1">Keys_BO!$52:$103</definedName>
    <definedName name="BA_TS_Ass" hidden="1">TS_BA!$5:$65</definedName>
    <definedName name="Billion">TS_LU!$D$105</definedName>
    <definedName name="Billions">TS_LU!$D$63</definedName>
    <definedName name="BPM_TC_1" hidden="1">TS_BA!$B$1</definedName>
    <definedName name="BPM_TC_10" hidden="1">IS_Hist_TA!$J$18</definedName>
    <definedName name="BPM_TC_11" hidden="1">IS_Hist_TA!$M$27</definedName>
    <definedName name="BPM_TC_12" hidden="1">Fcast_TA!$C$31</definedName>
    <definedName name="BPM_TC_2" hidden="1">TS_BA!$J$13</definedName>
    <definedName name="BPM_TC_3" hidden="1">TS_BA!$K$13</definedName>
    <definedName name="BPM_TC_4" hidden="1">TS_LU!$D$11</definedName>
    <definedName name="BPM_TC_5" hidden="1">TS_BA!$J$26</definedName>
    <definedName name="BPM_TC_6" hidden="1">TS_BA!$J$31</definedName>
    <definedName name="BPM_TC_7" hidden="1">TS_BA!$J$32</definedName>
    <definedName name="BPM_TC_8" hidden="1">TS_BA!$J$40</definedName>
    <definedName name="BPM_TC_9" hidden="1">TS_BA!$J$41</definedName>
    <definedName name="CA_Alt_Chks">Checks_BO!$K$61:$K$64</definedName>
    <definedName name="CA_Alt_Chks_Area_Names">Checks_BO!$D$61:$D$64</definedName>
    <definedName name="CA_Alt_Chks_Flags">Checks_BO!$M$61:$M$64</definedName>
    <definedName name="CA_Alt_Chks_Inc">Checks_BO!$L$61:$L$64</definedName>
    <definedName name="CA_Err_Chks">Checks_BO!$K$20:$K$27</definedName>
    <definedName name="CA_Err_Chks_Area_Names">Checks_BO!$D$20:$D$27</definedName>
    <definedName name="CA_Err_Chks_Flags">Checks_BO!$M$20:$M$27</definedName>
    <definedName name="CA_Err_Chks_Inc">Checks_BO!$L$20:$L$27</definedName>
    <definedName name="CA_Sens_Chks">Checks_BO!$K$44:$K$44</definedName>
    <definedName name="CA_Sens_Chks_Area_Names">Checks_BO!$D$44:$D$44</definedName>
    <definedName name="CA_Sens_Chks_Flags">Checks_BO!$M$44:$M$44</definedName>
    <definedName name="CA_Sens_Chks_Inc">Checks_BO!$L$44:$L$44</definedName>
    <definedName name="CB_Alt_Chks_Show_Msg">Checks_BO!$C$50</definedName>
    <definedName name="CB_Eq_Ord_Cash_Limit_Div">Fcast_TA!$E$99</definedName>
    <definedName name="CB_Eq_Ord_Inc_Open_RP_In_NPAT">Fcast_TA!$E$98</definedName>
    <definedName name="CB_Err_Chks_Show_Msg">Checks_BO!$C$9</definedName>
    <definedName name="CB_Sens_Chks_Show_Msg">Checks_BO!$C$34</definedName>
    <definedName name="CB_TS_Show_Hist_Fcast_Pers">TS_BA!$J$31</definedName>
    <definedName name="Currency">TS_LU!$D$66</definedName>
    <definedName name="DD_Eq_Ord_Div_Meth">Fcast_TA!$I$92</definedName>
    <definedName name="DD_TS_Data_Term_Basis">TS_BA!$J$40</definedName>
    <definedName name="DD_TS_Denom">TS_BA!$J$26</definedName>
    <definedName name="DD_TS_Fin_YE_Day">TS_BA!$J$13</definedName>
    <definedName name="DD_TS_Fin_YE_Mth">TS_BA!$K$13</definedName>
    <definedName name="Err_Chk_1_Hdg" hidden="1">Fcast_OP_TO!$C$27</definedName>
    <definedName name="Err_Chk_10_Hdg" hidden="1">Fcast_OP_TO!$B$158</definedName>
    <definedName name="Err_Chk_11_Hdg" hidden="1">IS_Fcast_TO!$B$1</definedName>
    <definedName name="Err_Chk_13_Hdg" hidden="1">BS_Fcast_TO!$B$1</definedName>
    <definedName name="Err_Chk_14_Hdg" hidden="1">CFS_Fcast_TO!$B$1</definedName>
    <definedName name="Err_Chk_15_Hdg" hidden="1">Fcast_OP_TO!$C$117</definedName>
    <definedName name="Err_Chk_2_Hdg" hidden="1">Fcast_OP_TO!$C$44</definedName>
    <definedName name="Err_Chk_3_Hdg" hidden="1">Fcast_OP_TO!$C$64</definedName>
    <definedName name="Err_Chk_4_Hdg" hidden="1">Fcast_OP_TO!$C$76</definedName>
    <definedName name="Err_Chks_Msg">Checks_BO!$I$14</definedName>
    <definedName name="Err_Chks_Ttl_Areas">Checks_BO!$M$29</definedName>
    <definedName name="Half_Yr_Name">TS_LU!$D$86</definedName>
    <definedName name="Halves_In_Yr">TS_LU!$D$94</definedName>
    <definedName name="HL_Alt_Chk">Checks_BO!$B$48</definedName>
    <definedName name="HL_Alt_Chk_1" hidden="1">BS_Hist_TA!$H$73</definedName>
    <definedName name="HL_Alt_Chk_14" hidden="1">BS_Fcast_TO!$I$72</definedName>
    <definedName name="HL_Alt_Chk_15" hidden="1">Fcast_OP_TO!$I$138</definedName>
    <definedName name="HL_Alt_Chk_2" hidden="1">BS_Hist_TO!$H$74</definedName>
    <definedName name="HL_Err_Chk">Checks_BO!$B$7</definedName>
    <definedName name="HL_Err_Chk_1" hidden="1">Fcast_OP_TO!$I$42</definedName>
    <definedName name="HL_Err_Chk_11" hidden="1">IS_Fcast_TO!$I$41</definedName>
    <definedName name="HL_Err_Chk_13" hidden="1">BS_Fcast_TO!$I$70</definedName>
    <definedName name="HL_Err_Chk_14" hidden="1">CFS_Fcast_TO!$I$114</definedName>
    <definedName name="HL_Err_Chk_15" hidden="1">Fcast_OP_TO!$I$136</definedName>
    <definedName name="HL_Err_Chk_2" hidden="1">Fcast_OP_TO!$I$59</definedName>
    <definedName name="HL_Err_Chk_3" hidden="1">Fcast_OP_TO!$I$74</definedName>
    <definedName name="HL_Err_Chk_4" hidden="1">Fcast_OP_TO!$I$86</definedName>
    <definedName name="HL_Home">Contents!$B$1</definedName>
    <definedName name="HL_Sens_Chk">Checks_BO!$B$32</definedName>
    <definedName name="HL_Sheet_Main" hidden="1">Notes_BO!$A$1</definedName>
    <definedName name="HL_Sheet_Main_10" hidden="1">TS_BA!$A$1</definedName>
    <definedName name="HL_Sheet_Main_11" hidden="1">Assumptions_SC!$A$1</definedName>
    <definedName name="HL_Sheet_Main_12" hidden="1">Fcast_OP_TO!$A$1</definedName>
    <definedName name="HL_Sheet_Main_13" hidden="1">Checks_SSC!$A$1</definedName>
    <definedName name="HL_Sheet_Main_14" hidden="1">Checks_BO!$A$1</definedName>
    <definedName name="HL_Sheet_Main_15" hidden="1">Fcast_OP_SSC!$A$1</definedName>
    <definedName name="HL_Sheet_Main_16" hidden="1">Outputs_SC!$A$1</definedName>
    <definedName name="HL_Sheet_Main_17" hidden="1">IS_All_TO!$A$1</definedName>
    <definedName name="HL_Sheet_Main_18" hidden="1">All_Pers_OP_SSC!$A$1</definedName>
    <definedName name="HL_Sheet_Main_19" hidden="1">BS_Sum_P_MS!$A$1</definedName>
    <definedName name="HL_Sheet_Main_2" hidden="1">Overview_SC!$A$1</definedName>
    <definedName name="HL_Sheet_Main_20" hidden="1">Dashboards_SSC!$A$1</definedName>
    <definedName name="HL_Sheet_Main_21" hidden="1">IS_Hist_TA!$A$1</definedName>
    <definedName name="HL_Sheet_Main_22" hidden="1">BS_Hist_TA!$A$1</definedName>
    <definedName name="HL_Sheet_Main_23" hidden="1">CFS_Hist_TA!$A$1</definedName>
    <definedName name="HL_Sheet_Main_24" hidden="1">Contents!$A$1</definedName>
    <definedName name="HL_Sheet_Main_25" hidden="1">Cover!$A$1</definedName>
    <definedName name="HL_Sheet_Main_26" hidden="1">Fcast_TA!$A$1</definedName>
    <definedName name="HL_Sheet_Main_27" hidden="1">Dashboards_LU!$A$1</definedName>
    <definedName name="HL_Sheet_Main_28" hidden="1">Hist_OP_SSC!$A$1</definedName>
    <definedName name="HL_Sheet_Main_29" hidden="1">IS_Hist_TO!$A$1</definedName>
    <definedName name="HL_Sheet_Main_3" hidden="1">Notes_SSC!$A$1</definedName>
    <definedName name="HL_Sheet_Main_30" hidden="1">BS_Hist_TO!$A$1</definedName>
    <definedName name="HL_Sheet_Main_31" hidden="1">CFS_Hist_TO!$A$1</definedName>
    <definedName name="HL_Sheet_Main_32" hidden="1">BS_All_TO!$A$1</definedName>
    <definedName name="HL_Sheet_Main_33" hidden="1">CFS_All_TO!$A$1</definedName>
    <definedName name="HL_Sheet_Main_35" hidden="1">IS_Fcast_TO!$A$1</definedName>
    <definedName name="HL_Sheet_Main_36" hidden="1">BS_Fcast_TO!$A$1</definedName>
    <definedName name="HL_Sheet_Main_37" hidden="1">CFS_Fcast_TO!$A$1</definedName>
    <definedName name="HL_Sheet_Main_39" hidden="1">Appendices_SC!$A$1</definedName>
    <definedName name="HL_Sheet_Main_4" hidden="1">TS_Ass_SSC!$A$1</definedName>
    <definedName name="HL_Sheet_Main_40" hidden="1">LU_SSC!$A$1</definedName>
    <definedName name="HL_Sheet_Main_42" hidden="1">Capital_LU!$A$1</definedName>
    <definedName name="HL_Sheet_Main_5" hidden="1">Fcast_Ass_SSC!$A$1</definedName>
    <definedName name="HL_Sheet_Main_6" hidden="1">Keys_SSC!$A$1</definedName>
    <definedName name="HL_Sheet_Main_7" hidden="1">Keys_BO!$A$1</definedName>
    <definedName name="HL_Sheet_Main_8" hidden="1">Hist_Ass_SSC!$A$1</definedName>
    <definedName name="HL_Sheet_Main_9" hidden="1">TS_LU!$A$1</definedName>
    <definedName name="HL_TOC_1" hidden="1">Keys_BO!$B$7</definedName>
    <definedName name="HL_TOC_10" hidden="1">Fcast_TA!$B$45</definedName>
    <definedName name="HL_TOC_11" hidden="1">Fcast_TA!$B$58</definedName>
    <definedName name="HL_TOC_12" hidden="1">Fcast_TA!$B$106</definedName>
    <definedName name="HL_TOC_13" hidden="1">Fcast_TA!$B$123</definedName>
    <definedName name="HL_TOC_15" hidden="1">Fcast_OP_TO!$B$89</definedName>
    <definedName name="HL_TOC_16" hidden="1">Fcast_OP_TO!$B$184</definedName>
    <definedName name="HL_TOC_17" hidden="1">Fcast_OP_TO!$B$62</definedName>
    <definedName name="HL_TOC_2" hidden="1">Keys_BO!$B$54</definedName>
    <definedName name="HL_TOC_21" hidden="1">Fcast_OP_TO!$B$16</definedName>
    <definedName name="HL_TOC_24" hidden="1">Fcast_OP_TO!$B$25</definedName>
    <definedName name="HL_TOC_3" hidden="1">Keys_BO!$B$106</definedName>
    <definedName name="HL_TOC_32" hidden="1">Fcast_OP_TO!$B$158</definedName>
    <definedName name="HL_TOC_4" hidden="1">TS_LU!$B$7</definedName>
    <definedName name="HL_TOC_5" hidden="1">Fcast_TA!$B$16</definedName>
    <definedName name="HL_TOC_6" hidden="1">Checks_BO!$B$7</definedName>
    <definedName name="HL_TOC_7" hidden="1">Checks_BO!$B$32</definedName>
    <definedName name="HL_TOC_8" hidden="1">Checks_BO!$B$48</definedName>
    <definedName name="HL_TOC_9" hidden="1">Fcast_TA!$B$29</definedName>
    <definedName name="Hundred">TS_LU!$D$102</definedName>
    <definedName name="LI_Tax_Base_Nom_Opex_Base_Nom_Cat_1">Fcast_OP_TO!$I$164</definedName>
    <definedName name="LO_BS_Base_Nom_OP_Cash_Open">BS_Fcast_TO!$I$20</definedName>
    <definedName name="LU_Dashboard_Selected_Period">Dashboards_LU!$D$12:$D$19</definedName>
    <definedName name="LU_Data_Term_Basis">TS_LU!$D$71:$D$72</definedName>
    <definedName name="LU_Denom">TS_LU!$D$63:$D$66</definedName>
    <definedName name="LU_Eq_Ord_Div_Meth">Capital_LU!$D$12:$D$13</definedName>
    <definedName name="LU_Mth_Days">TS_LU!$D$12:$D$42</definedName>
    <definedName name="LU_Mth_Names">TS_LU!$D$47:$D$58</definedName>
    <definedName name="LU_Period_Type_Names">TS_LU!$D$85:$D$88</definedName>
    <definedName name="LU_Periodicity">TS_LU!$D$77:$D$80</definedName>
    <definedName name="LU_Pers_In_Yr">TS_LU!$D$93:$D$96</definedName>
    <definedName name="Million">TS_LU!$D$104</definedName>
    <definedName name="Millions">TS_LU!$D$64</definedName>
    <definedName name="Model_Name">Cover!$C$10</definedName>
    <definedName name="Mth_Name">TS_LU!$D$88</definedName>
    <definedName name="Mthly">TS_LU!$D$80</definedName>
    <definedName name="Mths_In_Yr">TS_LU!$D$96</definedName>
    <definedName name="_xlnm.Print_Area" localSheetId="26">All_Pers_OP_SSC!$B$1:$N$30</definedName>
    <definedName name="_xlnm.Print_Area" localSheetId="32">Appendices_SC!$B$1:$N$30</definedName>
    <definedName name="_xlnm.Print_Area" localSheetId="7">Assumptions_SC!$B$1:$N$30</definedName>
    <definedName name="_xlnm.Print_Area" localSheetId="28">BS_All_TO!$B$1:$Q$77</definedName>
    <definedName name="_xlnm.Print_Area" localSheetId="24">BS_Fcast_TO!$B$1:$Q$78</definedName>
    <definedName name="_xlnm.Print_Area" localSheetId="12">BS_Hist_TA!$B$1:$Q$77</definedName>
    <definedName name="_xlnm.Print_Area" localSheetId="19">BS_Hist_TO!$B$1:$Q$77</definedName>
    <definedName name="_xlnm.Print_Area" localSheetId="31">BS_Sum_P_MS!$B$1:$AN$64</definedName>
    <definedName name="_xlnm.Print_Area" localSheetId="37">Capital_LU!$B$1:$G$13</definedName>
    <definedName name="_xlnm.Print_Area" localSheetId="29">CFS_All_TO!$B$1:$Q$58</definedName>
    <definedName name="_xlnm.Print_Area" localSheetId="25">CFS_Fcast_TO!$B$1:$Q$120</definedName>
    <definedName name="_xlnm.Print_Area" localSheetId="13">CFS_Hist_TA!$B$1:$Q$55</definedName>
    <definedName name="_xlnm.Print_Area" localSheetId="20">CFS_Hist_TO!$B$1:$Q$54</definedName>
    <definedName name="_xlnm.Print_Area" localSheetId="34">Checks_BO!$B$1:$M$66</definedName>
    <definedName name="_xlnm.Print_Area" localSheetId="33">Checks_SSC!$B$1:$N$30</definedName>
    <definedName name="_xlnm.Print_Area" localSheetId="1">Contents!$B$1:$Q$64</definedName>
    <definedName name="_xlnm.Print_Area" localSheetId="0">Cover!$B$1:$N$32</definedName>
    <definedName name="_xlnm.Print_Area" localSheetId="38">Dashboards_LU!$B$1:$G$19</definedName>
    <definedName name="_xlnm.Print_Area" localSheetId="30">Dashboards_SSC!$B$1:$N$30</definedName>
    <definedName name="_xlnm.Print_Area" localSheetId="14">Fcast_Ass_SSC!$B$1:$N$30</definedName>
    <definedName name="_xlnm.Print_Area" localSheetId="21">Fcast_OP_SSC!$B$1:$N$30</definedName>
    <definedName name="_xlnm.Print_Area" localSheetId="22">Fcast_OP_TO!$B$1:$Q$214</definedName>
    <definedName name="_xlnm.Print_Area" localSheetId="15">Fcast_TA!$B$1:$Q$146</definedName>
    <definedName name="_xlnm.Print_Area" localSheetId="10">Hist_Ass_SSC!$B$1:$N$30</definedName>
    <definedName name="_xlnm.Print_Area" localSheetId="17">Hist_OP_SSC!$B$1:$N$30</definedName>
    <definedName name="_xlnm.Print_Area" localSheetId="27">IS_All_TO!$B$1:$Q$43</definedName>
    <definedName name="_xlnm.Print_Area" localSheetId="23">IS_Fcast_TO!$B$1:$Q$47</definedName>
    <definedName name="_xlnm.Print_Area" localSheetId="11">IS_Hist_TA!$B$1:$Q$44</definedName>
    <definedName name="_xlnm.Print_Area" localSheetId="18">IS_Hist_TO!$B$1:$Q$43</definedName>
    <definedName name="_xlnm.Print_Area" localSheetId="6">Keys_BO!$B$1:$N$137</definedName>
    <definedName name="_xlnm.Print_Area" localSheetId="5">Keys_SSC!$B$1:$N$30</definedName>
    <definedName name="_xlnm.Print_Area" localSheetId="35">LU_SSC!$B$1:$N$30</definedName>
    <definedName name="_xlnm.Print_Area" localSheetId="4">Notes_BO!$B$1:$M$37</definedName>
    <definedName name="_xlnm.Print_Area" localSheetId="3">Notes_SSC!$B$1:$N$30</definedName>
    <definedName name="_xlnm.Print_Area" localSheetId="16">Outputs_SC!$B$1:$N$30</definedName>
    <definedName name="_xlnm.Print_Area" localSheetId="2">Overview_SC!$B$1:$N$30</definedName>
    <definedName name="_xlnm.Print_Area" localSheetId="8">TS_Ass_SSC!$B$1:$N$30</definedName>
    <definedName name="_xlnm.Print_Area" localSheetId="9">TS_BA!$B$1:$N$66</definedName>
    <definedName name="_xlnm.Print_Area" localSheetId="36">TS_LU!$B$1:$G$105</definedName>
    <definedName name="_xlnm.Print_Titles" localSheetId="28">BS_All_TO!$1:$15</definedName>
    <definedName name="_xlnm.Print_Titles" localSheetId="24">BS_Fcast_TO!$1:$15</definedName>
    <definedName name="_xlnm.Print_Titles" localSheetId="12">BS_Hist_TA!$1:$15</definedName>
    <definedName name="_xlnm.Print_Titles" localSheetId="19">BS_Hist_TO!$1:$15</definedName>
    <definedName name="_xlnm.Print_Titles" localSheetId="29">CFS_All_TO!$1:$15</definedName>
    <definedName name="_xlnm.Print_Titles" localSheetId="25">CFS_Fcast_TO!$1:$15</definedName>
    <definedName name="_xlnm.Print_Titles" localSheetId="13">CFS_Hist_TA!$1:$15</definedName>
    <definedName name="_xlnm.Print_Titles" localSheetId="20">CFS_Hist_TO!$1:$15</definedName>
    <definedName name="_xlnm.Print_Titles" localSheetId="34">Checks_BO!$1:$6</definedName>
    <definedName name="_xlnm.Print_Titles" localSheetId="1">Contents!$1:$7</definedName>
    <definedName name="_xlnm.Print_Titles" localSheetId="22">Fcast_OP_TO!$1:$5</definedName>
    <definedName name="_xlnm.Print_Titles" localSheetId="15">Fcast_TA!$1:$5</definedName>
    <definedName name="_xlnm.Print_Titles" localSheetId="27">IS_All_TO!$1:$15</definedName>
    <definedName name="_xlnm.Print_Titles" localSheetId="23">IS_Fcast_TO!$1:$15</definedName>
    <definedName name="_xlnm.Print_Titles" localSheetId="11">IS_Hist_TA!$1:$15</definedName>
    <definedName name="_xlnm.Print_Titles" localSheetId="18">IS_Hist_TO!$1:$15</definedName>
    <definedName name="_xlnm.Print_Titles" localSheetId="6">Keys_BO!$1:$6</definedName>
    <definedName name="_xlnm.Print_Titles" localSheetId="4">Notes_BO!$1:$6</definedName>
    <definedName name="_xlnm.Print_Titles" localSheetId="9">TS_BA!$1:$6</definedName>
    <definedName name="_xlnm.Print_Titles" localSheetId="36">TS_LU!$1:$8</definedName>
    <definedName name="Qtr_Name">TS_LU!$D$87</definedName>
    <definedName name="Qtrly">TS_LU!$D$79</definedName>
    <definedName name="Qtrs_In_Yr">TS_LU!$D$95</definedName>
    <definedName name="RA_TS_Ass_Actual_Per_Title" hidden="1">TS_BA!$34:$34</definedName>
    <definedName name="RA_TS_Ass_Actual_Pers" hidden="1">TS_BA!$32:$32</definedName>
    <definedName name="RA_TS_Ass_Budget_Per_Title" hidden="1">TS_BA!$35:$35</definedName>
    <definedName name="RA_TS_Ass_Budget_Pers" hidden="1">TS_BA!$33:$33</definedName>
    <definedName name="RA_TS_Ass_Core_Fin_YE" hidden="1">TS_BA!$13:$13</definedName>
    <definedName name="RA_TS_Ass_Core_Main_Ass_Hdg" hidden="1">TS_BA!$9:$9</definedName>
    <definedName name="RA_TS_Ass_Core_Main_Ass_Hdg_Spacer" hidden="1">TS_BA!$8:$8</definedName>
    <definedName name="RA_TS_Ass_Core_Main_Ass_Spacer" hidden="1">TS_BA!$10:$10</definedName>
    <definedName name="RA_TS_Ass_Core_Main_Hdg" hidden="1">TS_BA!$7:$7</definedName>
    <definedName name="RA_TS_Ass_Core_Main_Hdg_Spacer1" hidden="1">TS_BA!$5:$5</definedName>
    <definedName name="RA_TS_Ass_Core_Main_Hdg_Spacer2" hidden="1">TS_BA!$6:$6</definedName>
    <definedName name="RA_TS_Ass_Data_Ass_Spacer" hidden="1">TS_BA!$45:$45</definedName>
    <definedName name="RA_TS_Ass_Data_End_Date" hidden="1">TS_BA!$46:$46</definedName>
    <definedName name="RA_TS_Ass_Data_Final_Stub" hidden="1">TS_BA!$49:$49</definedName>
    <definedName name="RA_TS_Ass_Data_Full_Pers" hidden="1">TS_BA!$48:$48</definedName>
    <definedName name="RA_TS_Ass_Data_Hdg" hidden="1">TS_BA!$44:$44</definedName>
    <definedName name="RA_TS_Ass_Data_Hdg_Spacer" hidden="1">TS_BA!$43:$43</definedName>
    <definedName name="RA_TS_Ass_Data_Pers_Ass" hidden="1">TS_BA!$41:$41</definedName>
    <definedName name="RA_TS_Ass_Data_Proj_Ass_Spacer" hidden="1">TS_BA!$39:$39</definedName>
    <definedName name="RA_TS_Ass_Data_Proj_Hdg" hidden="1">TS_BA!$38:$38</definedName>
    <definedName name="RA_TS_Ass_Data_Proj_Hdg_Spacer" hidden="1">TS_BA!$37:$37</definedName>
    <definedName name="RA_TS_Ass_Data_Term_Basis" hidden="1">TS_BA!$40:$40</definedName>
    <definedName name="RA_TS_Ass_Data_Total_Pers" hidden="1">TS_BA!$47:$47</definedName>
    <definedName name="RA_TS_Ass_Denom" hidden="1">TS_BA!$26:$26</definedName>
    <definedName name="RA_TS_Ass_Denom_Label" hidden="1">TS_BA!$27:$27</definedName>
    <definedName name="RA_TS_Ass_Fcast_Per_Title" hidden="1">TS_BA!$36:$36</definedName>
    <definedName name="RA_TS_Ass_Hist_Fcast_Ass_Spacer" hidden="1">TS_BA!$30:$30</definedName>
    <definedName name="RA_TS_Ass_Hist_Fcast_Hdg" hidden="1">TS_BA!$29:$29</definedName>
    <definedName name="RA_TS_Ass_Hist_Fcast_Hdg_Spacer" hidden="1">TS_BA!$28:$28</definedName>
    <definedName name="RA_TS_Ass_Mth_End" hidden="1">TS_BA!$18:$18</definedName>
    <definedName name="RA_TS_Ass_Mths_In_Per" hidden="1">TS_BA!$22:$22</definedName>
    <definedName name="RA_TS_Ass_Note_Budget_Per" hidden="1">TS_BA!$63:$63</definedName>
    <definedName name="RA_TS_Ass_Note_Data_Proj_Timing" hidden="1">TS_BA!$64:$64</definedName>
    <definedName name="RA_TS_Ass_Note_Denom" hidden="1">TS_BA!$62:$62</definedName>
    <definedName name="RA_TS_Ass_Note_Fin_YE" hidden="1">TS_BA!$61:$61</definedName>
    <definedName name="RA_TS_Ass_Note_Inactive_Cols_Treat" hidden="1">TS_BA!$65:$65</definedName>
    <definedName name="RA_TS_Ass_Notes_Hdg" hidden="1">TS_BA!$60:$60</definedName>
    <definedName name="RA_TS_Ass_Notes_Hdg_Spacer" hidden="1">TS_BA!$59:$59</definedName>
    <definedName name="RA_TS_Ass_Per_1_End_Date" hidden="1">TS_BA!$25:$25</definedName>
    <definedName name="RA_TS_Ass_Per_1_FY_End_Date" hidden="1">TS_BA!$20:$20</definedName>
    <definedName name="RA_TS_Ass_Per_1_FY_Start_Date" hidden="1">TS_BA!$19:$19</definedName>
    <definedName name="RA_TS_Ass_Per_1_Number" hidden="1">TS_BA!$23:$23</definedName>
    <definedName name="RA_TS_Ass_Per_1_Start_Date" hidden="1">TS_BA!$24:$24</definedName>
    <definedName name="RA_TS_Ass_Per_Type_Name" hidden="1">TS_BA!$16:$16</definedName>
    <definedName name="RA_TS_Ass_Per_Type_Prefix" hidden="1">TS_BA!$17:$17</definedName>
    <definedName name="RA_TS_Ass_Periodicity" hidden="1">TS_BA!$12:$12</definedName>
    <definedName name="RA_TS_Ass_Pers_In_Yr" hidden="1">TS_BA!$21:$21</definedName>
    <definedName name="RA_TS_Ass_Proj_Ass_Spacer" hidden="1">TS_BA!$52:$52</definedName>
    <definedName name="RA_TS_Ass_Proj_Hdg" hidden="1">TS_BA!$51:$51</definedName>
    <definedName name="RA_TS_Ass_Proj_Hdg_Spacer" hidden="1">TS_BA!$50:$50</definedName>
    <definedName name="RA_TS_Ass_Proj_Per_1_End_Date" hidden="1">TS_BA!$58:$58</definedName>
    <definedName name="RA_TS_Ass_Proj_Per_1_FY_End_Date" hidden="1">TS_BA!$55:$55</definedName>
    <definedName name="RA_TS_Ass_Proj_Per_1_FY_Start_Date" hidden="1">TS_BA!$54:$54</definedName>
    <definedName name="RA_TS_Ass_Proj_Per_1_Number" hidden="1">TS_BA!$56:$56</definedName>
    <definedName name="RA_TS_Ass_Proj_Per_1_Start_Date" hidden="1">TS_BA!$57:$57</definedName>
    <definedName name="RA_TS_Ass_Proj_Start_Date" hidden="1">TS_BA!$53:$53</definedName>
    <definedName name="RA_TS_Ass_Proj_Start_Date_Ass" hidden="1">TS_BA!$42:$42</definedName>
    <definedName name="RA_TS_Ass_Show_Hist_Fcast_Pers" hidden="1">TS_BA!$31:$31</definedName>
    <definedName name="RA_TS_Ass_Start_Date" hidden="1">TS_BA!$14:$14</definedName>
    <definedName name="RA_TS_Ass_Std_Pers" hidden="1">TS_BA!$15:$15</definedName>
    <definedName name="RA_TS_Ass_Title" hidden="1">TS_BA!$11:$11</definedName>
    <definedName name="Semi_Annual">TS_LU!$D$78</definedName>
    <definedName name="Sens_Chks_Msg">Checks_BO!$I$39</definedName>
    <definedName name="Sens_Chks_Ttl_Areas">Checks_BO!$M$45</definedName>
    <definedName name="TBXBST" localSheetId="26" hidden="1">"|B|SSC|B|"</definedName>
    <definedName name="TBXBST" localSheetId="32" hidden="1">"|B|SC|B|"</definedName>
    <definedName name="TBXBST" localSheetId="7" hidden="1">"|B|SC|B|"</definedName>
    <definedName name="TBXBST" localSheetId="28" hidden="1">"|B|TO|B||T|All|T||N|1|N||FTSCN|10|FTSCN||TSP|8|TSP|"</definedName>
    <definedName name="TBXBST" localSheetId="24" hidden="1">"|B|TO|B||T|Proj|T||N|1|N||FTSCN|10|FTSCN||TSP|10|TSP|"</definedName>
    <definedName name="TBXBST" localSheetId="12" hidden="1">"|B|TA|B||T|Data|T||N|1|N||FTSCN|10|FTSCN||TSP|10|TSP|"</definedName>
    <definedName name="TBXBST" localSheetId="19" hidden="1">"|B|TO|B||T|Data|T||N|1|N||FTSCN|10|FTSCN||TSP|8|TSP|"</definedName>
    <definedName name="TBXBST" localSheetId="31" hidden="1">"|B|MS|B||P|"</definedName>
    <definedName name="TBXBST" localSheetId="37" hidden="1">"|B|LU|B|"</definedName>
    <definedName name="TBXBST" localSheetId="29" hidden="1">"|B|TO|B||T|All|T||N|1|N||FTSCN|10|FTSCN||TSP|8|TSP|"</definedName>
    <definedName name="TBXBST" localSheetId="25" hidden="1">"|B|TO|B||T|Proj|T||N|1|N||FTSCN|10|FTSCN||TSP|10|TSP|"</definedName>
    <definedName name="TBXBST" localSheetId="13" hidden="1">"|B|TA|B||T|Data|T||N|1|N||FTSCN|10|FTSCN||TSP|10|TSP|"</definedName>
    <definedName name="TBXBST" localSheetId="20" hidden="1">"|B|TO|B||T|Data|T||N|1|N||FTSCN|10|FTSCN||TSP|8|TSP|"</definedName>
    <definedName name="TBXBST" localSheetId="34" hidden="1">"|B|BO|B|"</definedName>
    <definedName name="TBXBST" localSheetId="33" hidden="1">"|B|SSC|B|"</definedName>
    <definedName name="TBXBST" localSheetId="1" hidden="1">"|B|Contents|B|"</definedName>
    <definedName name="TBXBST" localSheetId="0" hidden="1">"|B|Cover|B|"</definedName>
    <definedName name="TBXBST" localSheetId="38" hidden="1">"|B|LU|B|"</definedName>
    <definedName name="TBXBST" localSheetId="30" hidden="1">"|B|SSC|B|"</definedName>
    <definedName name="TBXBST" localSheetId="14" hidden="1">"|B|SSC|B|"</definedName>
    <definedName name="TBXBST" localSheetId="21" hidden="1">"|B|SSC|B|"</definedName>
    <definedName name="TBXBST" localSheetId="22" hidden="1">"|B|TO|B||T|Proj|T||N|1|N||FTSCN|10|FTSCN||TSP|8|TSP|"</definedName>
    <definedName name="TBXBST" localSheetId="15" hidden="1">"|B|TA|B||T|Proj|T||N|1|N||FTSCN|10|FTSCN||TSP|8|TSP|"</definedName>
    <definedName name="TBXBST" localSheetId="10" hidden="1">"|B|SSC|B|"</definedName>
    <definedName name="TBXBST" localSheetId="17" hidden="1">"|B|SSC|B|"</definedName>
    <definedName name="TBXBST" localSheetId="27" hidden="1">"|B|TO|B||T|All|T||N|1|N||FTSCN|10|FTSCN||TSP|8|TSP|"</definedName>
    <definedName name="TBXBST" localSheetId="23" hidden="1">"|B|TO|B||T|Proj|T||N|1|N||FTSCN|10|FTSCN||TSP|10|TSP|"</definedName>
    <definedName name="TBXBST" localSheetId="11" hidden="1">"|B|TA|B||T|Data|T||N|1|N||FTSCN|10|FTSCN||TSP|10|TSP|"</definedName>
    <definedName name="TBXBST" localSheetId="18" hidden="1">"|B|TO|B||T|Data|T||N|1|N||FTSCN|10|FTSCN||TSP|8|TSP|"</definedName>
    <definedName name="TBXBST" localSheetId="6" hidden="1">"|B|BO|B|"</definedName>
    <definedName name="TBXBST" localSheetId="5" hidden="1">"|B|SSC|B|"</definedName>
    <definedName name="TBXBST" localSheetId="35" hidden="1">"|B|SSC|B|"</definedName>
    <definedName name="TBXBST" localSheetId="4" hidden="1">"|B|BO|B|"</definedName>
    <definedName name="TBXBST" localSheetId="3" hidden="1">"|B|SSC|B|"</definedName>
    <definedName name="TBXBST" localSheetId="16" hidden="1">"|B|SC|B|"</definedName>
    <definedName name="TBXBST" localSheetId="2" hidden="1">"|B|SC|B|"</definedName>
    <definedName name="TBXBST" localSheetId="8" hidden="1">"|B|SSC|B|"</definedName>
    <definedName name="TBXBST" localSheetId="9" hidden="1">"|B|BA|B|"</definedName>
    <definedName name="TBXBST" localSheetId="36" hidden="1">"|B|LU|B|"</definedName>
    <definedName name="Ten">TS_LU!$D$101</definedName>
    <definedName name="Thousand">TS_LU!$D$103</definedName>
    <definedName name="Thousands">TS_LU!$D$65</definedName>
    <definedName name="TOC_Hdg_1" hidden="1">Keys_BO!$B$7</definedName>
    <definedName name="TOC_Hdg_10" hidden="1">Fcast_TA!$B$45</definedName>
    <definedName name="TOC_Hdg_11" hidden="1">Fcast_TA!$B$58</definedName>
    <definedName name="TOC_Hdg_12" hidden="1">Fcast_TA!$B$106</definedName>
    <definedName name="TOC_Hdg_13" hidden="1">Fcast_TA!$B$123</definedName>
    <definedName name="TOC_Hdg_15" hidden="1">Fcast_OP_TO!$B$89</definedName>
    <definedName name="TOC_Hdg_16" hidden="1">Fcast_OP_TO!$B$184</definedName>
    <definedName name="TOC_Hdg_17" hidden="1">Fcast_OP_TO!$B$62</definedName>
    <definedName name="TOC_Hdg_2" hidden="1">Keys_BO!$B$54</definedName>
    <definedName name="TOC_Hdg_21" hidden="1">Fcast_OP_TO!$B$16</definedName>
    <definedName name="TOC_Hdg_24" hidden="1">Fcast_OP_TO!$B$25</definedName>
    <definedName name="TOC_Hdg_3" hidden="1">Keys_BO!$B$106</definedName>
    <definedName name="TOC_Hdg_32" hidden="1">Fcast_OP_TO!$B$158</definedName>
    <definedName name="TOC_Hdg_4" hidden="1">TS_LU!$B$7</definedName>
    <definedName name="TOC_Hdg_5" hidden="1">Fcast_TA!$B$16</definedName>
    <definedName name="TOC_Hdg_6" hidden="1">Checks_BO!$B$7</definedName>
    <definedName name="TOC_Hdg_7" hidden="1">Checks_BO!$B$32</definedName>
    <definedName name="TOC_Hdg_8" hidden="1">Checks_BO!$B$48</definedName>
    <definedName name="TOC_Hdg_9" hidden="1">Fcast_TA!$B$29</definedName>
    <definedName name="TS">TS_BA!$J$65</definedName>
    <definedName name="TS_Actual_Per_Title">TS_BA!$J$34</definedName>
    <definedName name="TS_Actual_Pers">TS_BA!$J$32</definedName>
    <definedName name="TS_Budget_Per_Title">TS_BA!$J$35</definedName>
    <definedName name="TS_Budget_Pers">TS_BA!$J$33</definedName>
    <definedName name="TS_Data_End_Date">TS_BA!$J$46</definedName>
    <definedName name="TS_Data_Final_Stub">TS_BA!$J$49</definedName>
    <definedName name="TS_Data_Full_Pers">TS_BA!$J$48</definedName>
    <definedName name="TS_Data_Pers_Ass">TS_BA!$J$41</definedName>
    <definedName name="TS_Data_Total_Pers">TS_BA!$J$47</definedName>
    <definedName name="TS_Denom_Label">TS_BA!$J$27</definedName>
    <definedName name="TS_Fcast_Per_Title">TS_BA!$J$36</definedName>
    <definedName name="TS_Mth_End">TS_BA!$J$18</definedName>
    <definedName name="TS_Mths_In_Per">TS_BA!$J$22</definedName>
    <definedName name="TS_Per_1_End_Date">TS_BA!$J$25</definedName>
    <definedName name="TS_Per_1_FY_End_Date">TS_BA!$J$20</definedName>
    <definedName name="TS_Per_1_FY_Start_Date">TS_BA!$J$19</definedName>
    <definedName name="TS_Per_1_Number">TS_BA!$J$23</definedName>
    <definedName name="TS_Per_1_Start_Date">TS_BA!$J$24</definedName>
    <definedName name="TS_Per_Type_Name">TS_BA!$J$16</definedName>
    <definedName name="TS_Per_Type_Prefix">TS_BA!$J$17</definedName>
    <definedName name="TS_Periodicity">TS_BA!$J$12</definedName>
    <definedName name="TS_Pers_In_Yr">TS_BA!$J$21</definedName>
    <definedName name="TS_Proj_Per_1_End_Date">TS_BA!$J$58</definedName>
    <definedName name="TS_Proj_Per_1_FY_End_Date">TS_BA!$J$55</definedName>
    <definedName name="TS_Proj_Per_1_FY_Start_Date">TS_BA!$J$54</definedName>
    <definedName name="TS_Proj_Per_1_Number">TS_BA!$J$56</definedName>
    <definedName name="TS_Proj_Per_1_Start_Date">TS_BA!$J$57</definedName>
    <definedName name="TS_Proj_Start_Date">TS_BA!$J$53</definedName>
    <definedName name="TS_Proj_Start_Date_Ass">TS_BA!$J$42</definedName>
    <definedName name="TS_Start_Date">TS_BA!$J$14</definedName>
    <definedName name="TS_Std_Pers">TS_BA!$J$15</definedName>
    <definedName name="TS_Title">TS_BA!$J$11</definedName>
    <definedName name="Yr_Name">TS_LU!$D$85</definedName>
    <definedName name="Yrs_In_Yr">TS_LU!$D$93</definedName>
  </definedNames>
  <calcPr calcId="125725"/>
</workbook>
</file>

<file path=xl/calcChain.xml><?xml version="1.0" encoding="utf-8"?>
<calcChain xmlns="http://schemas.openxmlformats.org/spreadsheetml/2006/main">
  <c r="Q49" i="162"/>
  <c r="P49"/>
  <c r="O49"/>
  <c r="N49"/>
  <c r="M49"/>
  <c r="L49"/>
  <c r="K49"/>
  <c r="J49"/>
  <c r="Q31"/>
  <c r="P31"/>
  <c r="O31"/>
  <c r="N31"/>
  <c r="M31"/>
  <c r="L31"/>
  <c r="K31"/>
  <c r="J31"/>
  <c r="Q37" i="163"/>
  <c r="P37"/>
  <c r="O37"/>
  <c r="N37"/>
  <c r="L37"/>
  <c r="K37"/>
  <c r="J37"/>
  <c r="Q30"/>
  <c r="P30"/>
  <c r="O30"/>
  <c r="N30"/>
  <c r="L30"/>
  <c r="K30"/>
  <c r="J30"/>
  <c r="H62" i="176"/>
  <c r="H61"/>
  <c r="H60"/>
  <c r="F59"/>
  <c r="I58"/>
  <c r="I57"/>
  <c r="I56"/>
  <c r="H55"/>
  <c r="F54"/>
  <c r="D53"/>
  <c r="H52"/>
  <c r="F51"/>
  <c r="H50"/>
  <c r="H49"/>
  <c r="H48"/>
  <c r="F47"/>
  <c r="H46"/>
  <c r="H45"/>
  <c r="H44"/>
  <c r="I43"/>
  <c r="I42"/>
  <c r="I41"/>
  <c r="I40"/>
  <c r="I39"/>
  <c r="I38"/>
  <c r="H37"/>
  <c r="F36"/>
  <c r="H35"/>
  <c r="H34"/>
  <c r="H33"/>
  <c r="F32"/>
  <c r="D31"/>
  <c r="I30"/>
  <c r="I29"/>
  <c r="I28"/>
  <c r="I27"/>
  <c r="I26"/>
  <c r="I25"/>
  <c r="H24"/>
  <c r="F23"/>
  <c r="H22"/>
  <c r="H21"/>
  <c r="H20"/>
  <c r="F19"/>
  <c r="H18"/>
  <c r="F17"/>
  <c r="D16"/>
  <c r="I15"/>
  <c r="I14"/>
  <c r="I13"/>
  <c r="H12"/>
  <c r="F11"/>
  <c r="H10"/>
  <c r="F9"/>
  <c r="D8"/>
  <c r="D64" i="135"/>
  <c r="D63"/>
  <c r="D62"/>
  <c r="D61"/>
  <c r="D27"/>
  <c r="D26"/>
  <c r="D25"/>
  <c r="D24"/>
  <c r="C70" i="196" l="1"/>
  <c r="D69"/>
  <c r="D68"/>
  <c r="I60"/>
  <c r="I59"/>
  <c r="I50"/>
  <c r="I49"/>
  <c r="I48"/>
  <c r="I43"/>
  <c r="I42"/>
  <c r="I41"/>
  <c r="I40"/>
  <c r="I39"/>
  <c r="I32"/>
  <c r="I31"/>
  <c r="I30"/>
  <c r="I29"/>
  <c r="I24"/>
  <c r="I23"/>
  <c r="I22"/>
  <c r="E21"/>
  <c r="E20"/>
  <c r="Q20" i="191"/>
  <c r="Q21" s="1"/>
  <c r="P20"/>
  <c r="P21" s="1"/>
  <c r="O20"/>
  <c r="O21" s="1"/>
  <c r="N20"/>
  <c r="N21" s="1"/>
  <c r="M20"/>
  <c r="M21" s="1"/>
  <c r="L20"/>
  <c r="L21" s="1"/>
  <c r="K20"/>
  <c r="K21" s="1"/>
  <c r="J20"/>
  <c r="J21" s="1"/>
  <c r="Q51"/>
  <c r="P51"/>
  <c r="O51"/>
  <c r="N51"/>
  <c r="M51"/>
  <c r="L51"/>
  <c r="K51"/>
  <c r="J51"/>
  <c r="I51"/>
  <c r="Q44"/>
  <c r="P44"/>
  <c r="O44"/>
  <c r="N44"/>
  <c r="M44"/>
  <c r="L44"/>
  <c r="K44"/>
  <c r="J44"/>
  <c r="I44"/>
  <c r="Q33"/>
  <c r="P33"/>
  <c r="O33"/>
  <c r="N33"/>
  <c r="M33"/>
  <c r="L33"/>
  <c r="K33"/>
  <c r="J33"/>
  <c r="I33"/>
  <c r="Q25"/>
  <c r="P25"/>
  <c r="O25"/>
  <c r="N25"/>
  <c r="M25"/>
  <c r="L25"/>
  <c r="K25"/>
  <c r="J25"/>
  <c r="I25"/>
  <c r="I71"/>
  <c r="D48" i="197"/>
  <c r="Q49" i="192"/>
  <c r="P49"/>
  <c r="O49"/>
  <c r="N49"/>
  <c r="M49"/>
  <c r="L49"/>
  <c r="K49"/>
  <c r="J49"/>
  <c r="D60" i="202"/>
  <c r="B39" i="180" s="1"/>
  <c r="D100" i="163"/>
  <c r="D85"/>
  <c r="D139" i="193"/>
  <c r="C210" i="199" s="1"/>
  <c r="E63" i="196"/>
  <c r="D60"/>
  <c r="D58" i="203"/>
  <c r="D49"/>
  <c r="D47"/>
  <c r="D39"/>
  <c r="D31"/>
  <c r="D28"/>
  <c r="D27"/>
  <c r="D77" i="202"/>
  <c r="C77"/>
  <c r="C76"/>
  <c r="D66"/>
  <c r="B40" i="180" s="1"/>
  <c r="D59" i="202"/>
  <c r="B38" i="180" s="1"/>
  <c r="C57" i="202"/>
  <c r="C55"/>
  <c r="C53"/>
  <c r="D50"/>
  <c r="D49"/>
  <c r="D48"/>
  <c r="C46"/>
  <c r="D43"/>
  <c r="D42"/>
  <c r="D41"/>
  <c r="D40"/>
  <c r="D39"/>
  <c r="C37"/>
  <c r="C35"/>
  <c r="D32"/>
  <c r="D31"/>
  <c r="D30"/>
  <c r="D29"/>
  <c r="C27"/>
  <c r="D24"/>
  <c r="D23"/>
  <c r="D22"/>
  <c r="C18"/>
  <c r="I17"/>
  <c r="B16"/>
  <c r="C43" i="201"/>
  <c r="D42"/>
  <c r="C42"/>
  <c r="C41"/>
  <c r="C39"/>
  <c r="B21" i="180" s="1"/>
  <c r="D37" i="201"/>
  <c r="B20" i="180" s="1"/>
  <c r="C35" i="201"/>
  <c r="B19" i="180" s="1"/>
  <c r="D33" i="201"/>
  <c r="B18" i="180" s="1"/>
  <c r="C31" i="201"/>
  <c r="B17" i="180" s="1"/>
  <c r="D29" i="201"/>
  <c r="B16" i="180" s="1"/>
  <c r="Q28" i="201"/>
  <c r="P28"/>
  <c r="O28"/>
  <c r="N28"/>
  <c r="M28"/>
  <c r="L28"/>
  <c r="K28"/>
  <c r="J28"/>
  <c r="E28"/>
  <c r="Q27"/>
  <c r="P27"/>
  <c r="O27"/>
  <c r="N27"/>
  <c r="M27"/>
  <c r="L27"/>
  <c r="K27"/>
  <c r="J27"/>
  <c r="E27"/>
  <c r="C25"/>
  <c r="B15" i="180" s="1"/>
  <c r="D23" i="201"/>
  <c r="B14" i="180" s="1"/>
  <c r="C21" i="201"/>
  <c r="B13" i="180" s="1"/>
  <c r="D19" i="201"/>
  <c r="B12" i="180" s="1"/>
  <c r="D18" i="201"/>
  <c r="B11" i="180" s="1"/>
  <c r="B16" i="201"/>
  <c r="Q12" i="203"/>
  <c r="P12"/>
  <c r="O12"/>
  <c r="N12"/>
  <c r="M12"/>
  <c r="L12"/>
  <c r="K12"/>
  <c r="J12"/>
  <c r="Q12" i="202"/>
  <c r="P12"/>
  <c r="O12"/>
  <c r="N12"/>
  <c r="M12"/>
  <c r="L12"/>
  <c r="K12"/>
  <c r="J12"/>
  <c r="J8" s="1"/>
  <c r="Q12" i="201"/>
  <c r="P12"/>
  <c r="O12"/>
  <c r="N12"/>
  <c r="M12"/>
  <c r="L12"/>
  <c r="K12"/>
  <c r="J12"/>
  <c r="J8" s="1"/>
  <c r="D75" i="162"/>
  <c r="D44" i="161"/>
  <c r="D138" i="193"/>
  <c r="D137"/>
  <c r="D136"/>
  <c r="D135"/>
  <c r="E73"/>
  <c r="E90"/>
  <c r="E142"/>
  <c r="C108"/>
  <c r="D110"/>
  <c r="C79"/>
  <c r="C60"/>
  <c r="C52"/>
  <c r="C47"/>
  <c r="C36"/>
  <c r="C31"/>
  <c r="C22"/>
  <c r="C21"/>
  <c r="C20"/>
  <c r="C19"/>
  <c r="C18"/>
  <c r="I17" i="196"/>
  <c r="I17" i="191"/>
  <c r="I35" l="1"/>
  <c r="K35"/>
  <c r="M35"/>
  <c r="O35"/>
  <c r="Q35"/>
  <c r="I53"/>
  <c r="K53"/>
  <c r="M53"/>
  <c r="O53"/>
  <c r="Q53"/>
  <c r="P53"/>
  <c r="I33" i="196"/>
  <c r="I44"/>
  <c r="I25"/>
  <c r="I35" s="1"/>
  <c r="I51"/>
  <c r="J35" i="191"/>
  <c r="L35"/>
  <c r="N35"/>
  <c r="P35"/>
  <c r="P55" s="1"/>
  <c r="P62" s="1"/>
  <c r="P63" s="1"/>
  <c r="P65" s="1"/>
  <c r="P67" s="1"/>
  <c r="J53"/>
  <c r="L53"/>
  <c r="N53"/>
  <c r="J8" i="203"/>
  <c r="O55" i="191" l="1"/>
  <c r="I53" i="196"/>
  <c r="M55" i="191"/>
  <c r="M62" s="1"/>
  <c r="M63" s="1"/>
  <c r="M65" s="1"/>
  <c r="I55"/>
  <c r="I62" s="1"/>
  <c r="I63" s="1"/>
  <c r="Q55"/>
  <c r="K55"/>
  <c r="K62" s="1"/>
  <c r="K63" s="1"/>
  <c r="K65" s="1"/>
  <c r="Q62"/>
  <c r="Q63" s="1"/>
  <c r="Q65" s="1"/>
  <c r="Q67" s="1"/>
  <c r="Q68" s="1"/>
  <c r="Q69" s="1"/>
  <c r="O62"/>
  <c r="O63" s="1"/>
  <c r="O65" s="1"/>
  <c r="O67" s="1"/>
  <c r="O68" s="1"/>
  <c r="O69" s="1"/>
  <c r="I55" i="196"/>
  <c r="L55" i="191"/>
  <c r="L62" s="1"/>
  <c r="L63" s="1"/>
  <c r="L65" s="1"/>
  <c r="N55"/>
  <c r="J55"/>
  <c r="J62" s="1"/>
  <c r="J63" s="1"/>
  <c r="J65" s="1"/>
  <c r="P68"/>
  <c r="P69" s="1"/>
  <c r="L67"/>
  <c r="M67"/>
  <c r="K67"/>
  <c r="I72"/>
  <c r="I73" s="1"/>
  <c r="I65" l="1"/>
  <c r="I67" s="1"/>
  <c r="I64" i="196"/>
  <c r="I66" s="1"/>
  <c r="I68" s="1"/>
  <c r="I69" s="1"/>
  <c r="N62" i="191"/>
  <c r="N63" s="1"/>
  <c r="N65" s="1"/>
  <c r="N67" s="1"/>
  <c r="J67"/>
  <c r="J68" s="1"/>
  <c r="J69" s="1"/>
  <c r="I68"/>
  <c r="I69" s="1"/>
  <c r="K68"/>
  <c r="K69" s="1"/>
  <c r="M68"/>
  <c r="M69" s="1"/>
  <c r="L68"/>
  <c r="L69" s="1"/>
  <c r="N68" l="1"/>
  <c r="N69" s="1"/>
  <c r="I22" i="202"/>
  <c r="C18" i="199"/>
  <c r="E20" i="203" s="1"/>
  <c r="C19" i="199"/>
  <c r="C20"/>
  <c r="E24" i="203" s="1"/>
  <c r="C21" i="199"/>
  <c r="C22"/>
  <c r="C27"/>
  <c r="D20" i="135" s="1"/>
  <c r="D30" i="199"/>
  <c r="C44"/>
  <c r="D21" i="135" s="1"/>
  <c r="C64" i="199"/>
  <c r="D22" i="135" s="1"/>
  <c r="C76" i="199"/>
  <c r="D23" i="135" s="1"/>
  <c r="E95" i="199"/>
  <c r="E96"/>
  <c r="D43" i="203" s="1"/>
  <c r="E97" i="199"/>
  <c r="D44" i="203" s="1"/>
  <c r="E98" i="199"/>
  <c r="D100"/>
  <c r="E102"/>
  <c r="E103"/>
  <c r="E104"/>
  <c r="E108"/>
  <c r="E112"/>
  <c r="E113"/>
  <c r="E121"/>
  <c r="E122"/>
  <c r="D45" i="203" s="1"/>
  <c r="E123" i="199"/>
  <c r="D46" i="203" s="1"/>
  <c r="E124" i="199"/>
  <c r="D126"/>
  <c r="E142"/>
  <c r="I142"/>
  <c r="E144"/>
  <c r="C160"/>
  <c r="D162"/>
  <c r="D164"/>
  <c r="D165"/>
  <c r="D166"/>
  <c r="D167"/>
  <c r="D172"/>
  <c r="D179"/>
  <c r="C186"/>
  <c r="C192"/>
  <c r="C198"/>
  <c r="C204"/>
  <c r="D25" i="193"/>
  <c r="D62"/>
  <c r="D93" i="199" s="1"/>
  <c r="D81" i="193"/>
  <c r="D119" i="199" s="1"/>
  <c r="E95" i="193"/>
  <c r="E152" i="199" s="1"/>
  <c r="E96" i="193"/>
  <c r="E153" i="199" s="1"/>
  <c r="D67" l="1"/>
  <c r="D35" i="203"/>
  <c r="D163" i="199"/>
  <c r="E23" i="203"/>
  <c r="D79" i="199"/>
  <c r="D36" i="203"/>
  <c r="J20" i="202"/>
  <c r="I74"/>
  <c r="D47" i="197" l="1"/>
  <c r="D46"/>
  <c r="D45"/>
  <c r="D44"/>
  <c r="D43"/>
  <c r="C41"/>
  <c r="D38"/>
  <c r="D37"/>
  <c r="D36"/>
  <c r="D35"/>
  <c r="C33"/>
  <c r="D30"/>
  <c r="D29"/>
  <c r="D28"/>
  <c r="D27"/>
  <c r="D26"/>
  <c r="E25"/>
  <c r="E24"/>
  <c r="E23"/>
  <c r="D22"/>
  <c r="E21"/>
  <c r="E20"/>
  <c r="C18"/>
  <c r="B16"/>
  <c r="D54"/>
  <c r="C54"/>
  <c r="C53"/>
  <c r="C51"/>
  <c r="D77" i="196"/>
  <c r="D42" i="195"/>
  <c r="C77" i="196"/>
  <c r="C76"/>
  <c r="C74"/>
  <c r="D73"/>
  <c r="D72"/>
  <c r="D64"/>
  <c r="D59"/>
  <c r="C57"/>
  <c r="C55"/>
  <c r="C53"/>
  <c r="D50"/>
  <c r="D49"/>
  <c r="D48"/>
  <c r="C46"/>
  <c r="D43"/>
  <c r="D42"/>
  <c r="D41"/>
  <c r="D40"/>
  <c r="D39"/>
  <c r="C37"/>
  <c r="C35"/>
  <c r="D32"/>
  <c r="D31"/>
  <c r="D30"/>
  <c r="D29"/>
  <c r="C27"/>
  <c r="D24"/>
  <c r="D23"/>
  <c r="D22"/>
  <c r="C18"/>
  <c r="B16"/>
  <c r="I72"/>
  <c r="Q28" i="195"/>
  <c r="P28"/>
  <c r="O28"/>
  <c r="N28"/>
  <c r="M28"/>
  <c r="L28"/>
  <c r="K28"/>
  <c r="J28"/>
  <c r="Q27"/>
  <c r="P27"/>
  <c r="O27"/>
  <c r="N27"/>
  <c r="M27"/>
  <c r="L27"/>
  <c r="K27"/>
  <c r="J27"/>
  <c r="C43"/>
  <c r="C42"/>
  <c r="C41"/>
  <c r="C39"/>
  <c r="D37"/>
  <c r="C35"/>
  <c r="D33"/>
  <c r="C31"/>
  <c r="D29"/>
  <c r="E28"/>
  <c r="E27"/>
  <c r="C25"/>
  <c r="D23"/>
  <c r="C21"/>
  <c r="D19"/>
  <c r="D18"/>
  <c r="B16"/>
  <c r="D54" i="192"/>
  <c r="D76" i="191"/>
  <c r="D42" i="190"/>
  <c r="Q39" i="192" l="1"/>
  <c r="P39"/>
  <c r="O39"/>
  <c r="N39"/>
  <c r="M39"/>
  <c r="L39"/>
  <c r="K39"/>
  <c r="J39"/>
  <c r="Q26"/>
  <c r="P26"/>
  <c r="O26"/>
  <c r="N26"/>
  <c r="M26"/>
  <c r="L26"/>
  <c r="K26"/>
  <c r="J26"/>
  <c r="Q22"/>
  <c r="Q31" s="1"/>
  <c r="Q51" s="1"/>
  <c r="P22"/>
  <c r="P31" s="1"/>
  <c r="P51" s="1"/>
  <c r="O22"/>
  <c r="O31" s="1"/>
  <c r="O51" s="1"/>
  <c r="N22"/>
  <c r="N31" s="1"/>
  <c r="N51" s="1"/>
  <c r="M22"/>
  <c r="M31" s="1"/>
  <c r="M51" s="1"/>
  <c r="L22"/>
  <c r="L31" s="1"/>
  <c r="L51" s="1"/>
  <c r="K22"/>
  <c r="K31" s="1"/>
  <c r="K51" s="1"/>
  <c r="J22"/>
  <c r="J31" s="1"/>
  <c r="J51" s="1"/>
  <c r="D49"/>
  <c r="D49" i="197" s="1"/>
  <c r="D39" i="192"/>
  <c r="D39" i="197" s="1"/>
  <c r="D31" i="192"/>
  <c r="D31" i="197" s="1"/>
  <c r="C65" i="191" l="1"/>
  <c r="D51"/>
  <c r="D44"/>
  <c r="D33"/>
  <c r="D25"/>
  <c r="Q29" i="190"/>
  <c r="P29"/>
  <c r="O29"/>
  <c r="N29"/>
  <c r="M29"/>
  <c r="L29"/>
  <c r="K29"/>
  <c r="J29"/>
  <c r="Q21"/>
  <c r="Q25" s="1"/>
  <c r="Q31" s="1"/>
  <c r="Q35" s="1"/>
  <c r="Q39" s="1"/>
  <c r="P21"/>
  <c r="P25" s="1"/>
  <c r="P31" s="1"/>
  <c r="P35" s="1"/>
  <c r="P39" s="1"/>
  <c r="O21"/>
  <c r="O25" s="1"/>
  <c r="O31" s="1"/>
  <c r="O35" s="1"/>
  <c r="O39" s="1"/>
  <c r="N21"/>
  <c r="N25" s="1"/>
  <c r="N31" s="1"/>
  <c r="N35" s="1"/>
  <c r="N39" s="1"/>
  <c r="M21"/>
  <c r="M25" s="1"/>
  <c r="M31" s="1"/>
  <c r="M35" s="1"/>
  <c r="M39" s="1"/>
  <c r="L21"/>
  <c r="L25" s="1"/>
  <c r="L31" s="1"/>
  <c r="L35" s="1"/>
  <c r="L39" s="1"/>
  <c r="K21"/>
  <c r="K25" s="1"/>
  <c r="K31" s="1"/>
  <c r="K35" s="1"/>
  <c r="K39" s="1"/>
  <c r="J21"/>
  <c r="J25" s="1"/>
  <c r="J31" s="1"/>
  <c r="J35" s="1"/>
  <c r="J39" s="1"/>
  <c r="D25" i="196" l="1"/>
  <c r="D25" i="202"/>
  <c r="C66" i="196"/>
  <c r="C68" i="202"/>
  <c r="D33" i="196"/>
  <c r="D33" i="202"/>
  <c r="D51" i="196"/>
  <c r="D51" i="202"/>
  <c r="D44" i="196"/>
  <c r="D44" i="202"/>
  <c r="I73" i="196"/>
  <c r="I74" s="1"/>
  <c r="AQ51" i="180"/>
  <c r="D75" i="163"/>
  <c r="D74"/>
  <c r="D67"/>
  <c r="D66"/>
  <c r="D50" i="162"/>
  <c r="D43"/>
  <c r="D32"/>
  <c r="D24"/>
  <c r="C66"/>
  <c r="D51"/>
  <c r="D44"/>
  <c r="D33"/>
  <c r="D25"/>
  <c r="D47" i="163"/>
  <c r="D84" s="1"/>
  <c r="D28"/>
  <c r="D27"/>
  <c r="D37" i="161"/>
  <c r="D33"/>
  <c r="D46" i="163"/>
  <c r="D83" s="1"/>
  <c r="D45"/>
  <c r="D82" s="1"/>
  <c r="D43"/>
  <c r="D80" s="1"/>
  <c r="D44"/>
  <c r="D81" s="1"/>
  <c r="E28" i="161"/>
  <c r="E27"/>
  <c r="D98" i="163" l="1"/>
  <c r="D102"/>
  <c r="D99"/>
  <c r="D103"/>
  <c r="D36"/>
  <c r="D73" s="1"/>
  <c r="I66" i="202" l="1"/>
  <c r="I70" i="196"/>
  <c r="H69" i="191"/>
  <c r="J12" i="131"/>
  <c r="D117" i="163"/>
  <c r="C120"/>
  <c r="C119"/>
  <c r="C78" i="162"/>
  <c r="C77"/>
  <c r="C47" i="161"/>
  <c r="H28" i="177"/>
  <c r="B7" i="174"/>
  <c r="D106" i="163"/>
  <c r="D105"/>
  <c r="D97"/>
  <c r="D95"/>
  <c r="C88"/>
  <c r="C78"/>
  <c r="C70"/>
  <c r="D65"/>
  <c r="D64"/>
  <c r="D63"/>
  <c r="D62"/>
  <c r="C56"/>
  <c r="D49"/>
  <c r="D86" s="1"/>
  <c r="D39"/>
  <c r="D76" s="1"/>
  <c r="D31"/>
  <c r="D93" s="1"/>
  <c r="D54" i="135"/>
  <c r="D38"/>
  <c r="D13"/>
  <c r="J27" i="131"/>
  <c r="J18"/>
  <c r="D13" i="130"/>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52" i="199" l="1"/>
  <c r="E106"/>
  <c r="D35"/>
  <c r="J61" i="202"/>
  <c r="AU18" i="180"/>
  <c r="AU11"/>
  <c r="E24" i="163"/>
  <c r="AU25" i="180"/>
  <c r="E23" i="163"/>
  <c r="D35"/>
  <c r="D72" s="1"/>
  <c r="E20"/>
  <c r="D23" i="161"/>
  <c r="D19"/>
  <c r="D18"/>
  <c r="J21" i="131"/>
  <c r="D68" i="163"/>
  <c r="D94"/>
  <c r="J16" i="131"/>
  <c r="J20"/>
  <c r="J17"/>
  <c r="J22" l="1"/>
  <c r="Q11" i="203"/>
  <c r="O11"/>
  <c r="M11"/>
  <c r="K11"/>
  <c r="Q6"/>
  <c r="O6"/>
  <c r="M6"/>
  <c r="K6"/>
  <c r="J11"/>
  <c r="J6"/>
  <c r="B6"/>
  <c r="Q11" i="202"/>
  <c r="O11"/>
  <c r="M11"/>
  <c r="K11"/>
  <c r="Q6"/>
  <c r="O6"/>
  <c r="M6"/>
  <c r="K6"/>
  <c r="J11"/>
  <c r="P11" i="201"/>
  <c r="N11"/>
  <c r="L11"/>
  <c r="P6"/>
  <c r="N6"/>
  <c r="L6"/>
  <c r="J6"/>
  <c r="B6"/>
  <c r="P11" i="203"/>
  <c r="N11"/>
  <c r="L11"/>
  <c r="P6"/>
  <c r="N6"/>
  <c r="L6"/>
  <c r="P11" i="202"/>
  <c r="N11"/>
  <c r="L11"/>
  <c r="P6"/>
  <c r="N6"/>
  <c r="L6"/>
  <c r="J6"/>
  <c r="B6"/>
  <c r="Q11" i="201"/>
  <c r="O11"/>
  <c r="M11"/>
  <c r="K11"/>
  <c r="Q6"/>
  <c r="O6"/>
  <c r="M6"/>
  <c r="K6"/>
  <c r="J11"/>
  <c r="AQ27" i="180"/>
  <c r="AQ47" s="1"/>
  <c r="AQ28"/>
  <c r="AQ50" s="1"/>
  <c r="AQ20"/>
  <c r="AQ46" s="1"/>
  <c r="AQ21"/>
  <c r="AQ49" s="1"/>
  <c r="AQ13"/>
  <c r="AQ45" s="1"/>
  <c r="AQ14"/>
  <c r="AQ48" s="1"/>
  <c r="J19" i="131"/>
  <c r="J23" s="1"/>
  <c r="P10" i="203" s="1"/>
  <c r="P13" l="1"/>
  <c r="P7"/>
  <c r="N10" i="201"/>
  <c r="J10" i="202"/>
  <c r="M10"/>
  <c r="Q10"/>
  <c r="K10" i="203"/>
  <c r="O10"/>
  <c r="J10" i="201"/>
  <c r="M10"/>
  <c r="Q10"/>
  <c r="N10" i="202"/>
  <c r="L10" i="203"/>
  <c r="L9"/>
  <c r="M8" s="1"/>
  <c r="L9" i="202"/>
  <c r="M8" s="1"/>
  <c r="N9" i="201"/>
  <c r="O8" s="1"/>
  <c r="N9" i="203"/>
  <c r="O8" s="1"/>
  <c r="Q9" i="201"/>
  <c r="M9"/>
  <c r="N8" s="1"/>
  <c r="K9" i="203"/>
  <c r="L8" s="1"/>
  <c r="M9" i="202"/>
  <c r="N8" s="1"/>
  <c r="Q9" i="203"/>
  <c r="O9" i="202"/>
  <c r="P8" s="1"/>
  <c r="P9" i="203"/>
  <c r="Q8" s="1"/>
  <c r="P9" i="202"/>
  <c r="Q8" s="1"/>
  <c r="P9" i="201"/>
  <c r="Q8" s="1"/>
  <c r="L9"/>
  <c r="M8" s="1"/>
  <c r="N9" i="202"/>
  <c r="O8" s="1"/>
  <c r="O9" i="201"/>
  <c r="P8" s="1"/>
  <c r="K9"/>
  <c r="L8" s="1"/>
  <c r="O9" i="203"/>
  <c r="P8" s="1"/>
  <c r="M9"/>
  <c r="N8" s="1"/>
  <c r="K9" i="202"/>
  <c r="L8" s="1"/>
  <c r="Q9"/>
  <c r="L10" i="201"/>
  <c r="P10"/>
  <c r="K10" i="202"/>
  <c r="O10"/>
  <c r="J10" i="203"/>
  <c r="M10"/>
  <c r="Q10"/>
  <c r="K10" i="201"/>
  <c r="O10"/>
  <c r="L10" i="202"/>
  <c r="P10"/>
  <c r="N10" i="203"/>
  <c r="J53" i="131"/>
  <c r="J25"/>
  <c r="J24"/>
  <c r="M45" i="135"/>
  <c r="I39" s="1"/>
  <c r="P13" i="202" l="1"/>
  <c r="P7"/>
  <c r="O13" i="201"/>
  <c r="O7"/>
  <c r="Q13" i="203"/>
  <c r="Q7"/>
  <c r="J13"/>
  <c r="J7"/>
  <c r="K13" i="202"/>
  <c r="K7"/>
  <c r="L13" i="201"/>
  <c r="L7"/>
  <c r="L13" i="203"/>
  <c r="L7"/>
  <c r="Q13" i="201"/>
  <c r="Q7"/>
  <c r="J13"/>
  <c r="J7"/>
  <c r="K13" i="203"/>
  <c r="K7"/>
  <c r="M13" i="202"/>
  <c r="M7"/>
  <c r="N13" i="201"/>
  <c r="N7"/>
  <c r="J9"/>
  <c r="K8" s="1"/>
  <c r="J9" i="203"/>
  <c r="K8" s="1"/>
  <c r="J9" i="202"/>
  <c r="K8" s="1"/>
  <c r="B7"/>
  <c r="B7" i="203"/>
  <c r="B7" i="201"/>
  <c r="AP7" i="180" s="1"/>
  <c r="N13" i="203"/>
  <c r="N7"/>
  <c r="L13" i="202"/>
  <c r="L7"/>
  <c r="K13" i="201"/>
  <c r="K7"/>
  <c r="M13" i="203"/>
  <c r="M7"/>
  <c r="O13" i="202"/>
  <c r="O7"/>
  <c r="P13" i="201"/>
  <c r="P7"/>
  <c r="N13" i="202"/>
  <c r="N7"/>
  <c r="M13" i="201"/>
  <c r="M7"/>
  <c r="O13" i="203"/>
  <c r="O7"/>
  <c r="Q13" i="202"/>
  <c r="Q7"/>
  <c r="J13"/>
  <c r="J7"/>
  <c r="J55" i="131"/>
  <c r="J54" s="1"/>
  <c r="J56" s="1"/>
  <c r="J58" s="1"/>
  <c r="I134" i="193"/>
  <c r="I89"/>
  <c r="I63"/>
  <c r="I48"/>
  <c r="I109"/>
  <c r="I82"/>
  <c r="I72"/>
  <c r="I53"/>
  <c r="I37"/>
  <c r="I32"/>
  <c r="J46" i="131"/>
  <c r="J47" s="1"/>
  <c r="I38" i="135"/>
  <c r="D13" i="182" l="1"/>
  <c r="AY7" i="180"/>
  <c r="D15" i="182"/>
  <c r="BA7" i="180"/>
  <c r="D18" i="182"/>
  <c r="BD7" i="180"/>
  <c r="D16" i="182"/>
  <c r="BB7" i="180"/>
  <c r="D12" i="182"/>
  <c r="AU32" i="180" s="1"/>
  <c r="AX7"/>
  <c r="D19" i="182"/>
  <c r="BE7" i="180"/>
  <c r="D14" i="182"/>
  <c r="AZ7" i="180"/>
  <c r="D17" i="182"/>
  <c r="BC7" i="180"/>
  <c r="Q46"/>
  <c r="Q26"/>
  <c r="Q9"/>
  <c r="O46"/>
  <c r="O26"/>
  <c r="O9"/>
  <c r="B46"/>
  <c r="B9"/>
  <c r="B26"/>
  <c r="R26"/>
  <c r="R9"/>
  <c r="R46"/>
  <c r="N26"/>
  <c r="N9"/>
  <c r="N46"/>
  <c r="P46"/>
  <c r="P26"/>
  <c r="P9"/>
  <c r="S46"/>
  <c r="S26"/>
  <c r="S9"/>
  <c r="J48" i="131"/>
  <c r="J12" i="197"/>
  <c r="J48" s="1"/>
  <c r="J12" i="195"/>
  <c r="J12" i="196"/>
  <c r="J49" i="131"/>
  <c r="J57"/>
  <c r="J12" i="190"/>
  <c r="J8" s="1"/>
  <c r="J9" s="1"/>
  <c r="K12" s="1"/>
  <c r="J12" i="192"/>
  <c r="J10" s="1"/>
  <c r="J12" i="191"/>
  <c r="J8" i="192" l="1"/>
  <c r="J9" s="1"/>
  <c r="K12" s="1"/>
  <c r="J11"/>
  <c r="B7"/>
  <c r="B6" i="163"/>
  <c r="B6" i="162"/>
  <c r="B6" i="161"/>
  <c r="B7" i="163"/>
  <c r="B7" i="162"/>
  <c r="B7" i="161"/>
  <c r="P12" i="163"/>
  <c r="N12"/>
  <c r="L12"/>
  <c r="L7" s="1"/>
  <c r="J12"/>
  <c r="J7" s="1"/>
  <c r="P12" i="162"/>
  <c r="N12"/>
  <c r="L12"/>
  <c r="L7" s="1"/>
  <c r="J12"/>
  <c r="J7" s="1"/>
  <c r="P12" i="161"/>
  <c r="N12"/>
  <c r="L12"/>
  <c r="L7" s="1"/>
  <c r="J12"/>
  <c r="J7" s="1"/>
  <c r="Q12" i="163"/>
  <c r="O12"/>
  <c r="M12"/>
  <c r="K12"/>
  <c r="K7" s="1"/>
  <c r="Q12" i="162"/>
  <c r="O12"/>
  <c r="M12"/>
  <c r="K12"/>
  <c r="K7" s="1"/>
  <c r="Q12" i="161"/>
  <c r="O12"/>
  <c r="M12"/>
  <c r="K12"/>
  <c r="K7" s="1"/>
  <c r="I60" i="202"/>
  <c r="O49"/>
  <c r="P31"/>
  <c r="O31"/>
  <c r="Q49"/>
  <c r="Q31"/>
  <c r="P49"/>
  <c r="I50"/>
  <c r="I48"/>
  <c r="I42"/>
  <c r="I40"/>
  <c r="I32"/>
  <c r="I30"/>
  <c r="I24"/>
  <c r="I49"/>
  <c r="I43"/>
  <c r="I41"/>
  <c r="I39"/>
  <c r="I31"/>
  <c r="I29"/>
  <c r="I23"/>
  <c r="I59"/>
  <c r="J71" i="191"/>
  <c r="J72"/>
  <c r="J63" i="196"/>
  <c r="J73" s="1"/>
  <c r="J59"/>
  <c r="J49"/>
  <c r="J49" i="202" s="1"/>
  <c r="J43" i="196"/>
  <c r="J41"/>
  <c r="J41" i="202" s="1"/>
  <c r="J39" i="196"/>
  <c r="J39" i="202" s="1"/>
  <c r="J31" i="196"/>
  <c r="J31" i="202" s="1"/>
  <c r="J29" i="196"/>
  <c r="J23"/>
  <c r="J23" i="202" s="1"/>
  <c r="J20" i="196"/>
  <c r="J61"/>
  <c r="J60"/>
  <c r="J50"/>
  <c r="J48"/>
  <c r="J48" i="202" s="1"/>
  <c r="J42" i="196"/>
  <c r="J42" i="202" s="1"/>
  <c r="J40" i="196"/>
  <c r="J32"/>
  <c r="J32" i="202" s="1"/>
  <c r="J30" i="196"/>
  <c r="J30" i="202" s="1"/>
  <c r="J24" i="196"/>
  <c r="J24" i="202" s="1"/>
  <c r="J22" i="196"/>
  <c r="J72" s="1"/>
  <c r="J63" i="202"/>
  <c r="J60"/>
  <c r="N39" i="180" s="1"/>
  <c r="J10" i="190"/>
  <c r="J7" s="1"/>
  <c r="B7"/>
  <c r="J6" i="192"/>
  <c r="J11" i="190"/>
  <c r="B7" i="191"/>
  <c r="J20" i="162"/>
  <c r="J149" i="199" s="1"/>
  <c r="J61" i="162"/>
  <c r="J146" i="199" s="1"/>
  <c r="B7"/>
  <c r="B6" i="193"/>
  <c r="B6" i="199"/>
  <c r="B7" i="193"/>
  <c r="B6" i="197"/>
  <c r="B7" i="196"/>
  <c r="B6" i="195"/>
  <c r="B7" i="197"/>
  <c r="B6" i="196"/>
  <c r="B7" i="195"/>
  <c r="J50" i="202"/>
  <c r="J10" i="196"/>
  <c r="J7" s="1"/>
  <c r="J11"/>
  <c r="J43" i="202"/>
  <c r="J29"/>
  <c r="J40"/>
  <c r="J8" i="196"/>
  <c r="J9" s="1"/>
  <c r="K12" s="1"/>
  <c r="J10" i="197"/>
  <c r="J7" s="1"/>
  <c r="J47"/>
  <c r="J46"/>
  <c r="J45"/>
  <c r="J44"/>
  <c r="J43"/>
  <c r="J38"/>
  <c r="J37"/>
  <c r="J36"/>
  <c r="J35"/>
  <c r="J30"/>
  <c r="J29"/>
  <c r="J28"/>
  <c r="J27"/>
  <c r="J25"/>
  <c r="J24"/>
  <c r="J23"/>
  <c r="J21"/>
  <c r="J20"/>
  <c r="J8"/>
  <c r="J9" s="1"/>
  <c r="K12" s="1"/>
  <c r="K48" s="1"/>
  <c r="J11"/>
  <c r="Q12" i="199"/>
  <c r="O12"/>
  <c r="M12"/>
  <c r="K12"/>
  <c r="Q12" i="193"/>
  <c r="O12"/>
  <c r="M12"/>
  <c r="K12"/>
  <c r="P12" i="199"/>
  <c r="N12"/>
  <c r="L12"/>
  <c r="J12"/>
  <c r="P12" i="193"/>
  <c r="N12"/>
  <c r="L12"/>
  <c r="J12"/>
  <c r="J37" i="195"/>
  <c r="J33"/>
  <c r="J29"/>
  <c r="J23"/>
  <c r="AX27" i="180" s="1"/>
  <c r="AX47" s="1"/>
  <c r="J19" i="195"/>
  <c r="AX20" i="180" s="1"/>
  <c r="AX46" s="1"/>
  <c r="J18" i="195"/>
  <c r="AX13" i="180" s="1"/>
  <c r="AX45" s="1"/>
  <c r="J10" i="195"/>
  <c r="J7" s="1"/>
  <c r="J11"/>
  <c r="J8"/>
  <c r="J9" s="1"/>
  <c r="K12" s="1"/>
  <c r="J13" i="192"/>
  <c r="J7"/>
  <c r="J6" i="190"/>
  <c r="B6"/>
  <c r="B6" i="192"/>
  <c r="B6" i="191"/>
  <c r="J8"/>
  <c r="J9" s="1"/>
  <c r="K12" s="1"/>
  <c r="K10" s="1"/>
  <c r="K7" s="1"/>
  <c r="J11"/>
  <c r="J6"/>
  <c r="J10"/>
  <c r="J7" s="1"/>
  <c r="K8" i="192"/>
  <c r="K9" s="1"/>
  <c r="L12" s="1"/>
  <c r="K10"/>
  <c r="K6"/>
  <c r="K7"/>
  <c r="K11"/>
  <c r="K11" i="190"/>
  <c r="K10"/>
  <c r="K7" s="1"/>
  <c r="K8"/>
  <c r="K9" s="1"/>
  <c r="L12" s="1"/>
  <c r="K8" i="191"/>
  <c r="K9" s="1"/>
  <c r="L12" s="1"/>
  <c r="L7" i="199" l="1"/>
  <c r="L107"/>
  <c r="L106"/>
  <c r="P106"/>
  <c r="P107" s="1"/>
  <c r="M106"/>
  <c r="M107" s="1"/>
  <c r="Q106"/>
  <c r="Q107" s="1"/>
  <c r="J7"/>
  <c r="J107"/>
  <c r="J106"/>
  <c r="N106"/>
  <c r="N107" s="1"/>
  <c r="K7"/>
  <c r="K106"/>
  <c r="K107"/>
  <c r="O106"/>
  <c r="O107" s="1"/>
  <c r="J77" i="193"/>
  <c r="J7"/>
  <c r="N77"/>
  <c r="K77"/>
  <c r="K7"/>
  <c r="O77"/>
  <c r="L77"/>
  <c r="L7"/>
  <c r="P77"/>
  <c r="M77"/>
  <c r="Q77"/>
  <c r="K11" i="191"/>
  <c r="J13" i="190"/>
  <c r="I68" i="202"/>
  <c r="K13" i="161"/>
  <c r="K6"/>
  <c r="K11"/>
  <c r="K10"/>
  <c r="K9"/>
  <c r="K8"/>
  <c r="O6"/>
  <c r="O11"/>
  <c r="O10"/>
  <c r="O9"/>
  <c r="K13" i="162"/>
  <c r="K6"/>
  <c r="K11"/>
  <c r="K10"/>
  <c r="K9"/>
  <c r="K8"/>
  <c r="O6"/>
  <c r="O11"/>
  <c r="O10"/>
  <c r="O7" s="1"/>
  <c r="O9"/>
  <c r="K13" i="163"/>
  <c r="K6"/>
  <c r="K11"/>
  <c r="K10"/>
  <c r="K9"/>
  <c r="K8"/>
  <c r="O6"/>
  <c r="O11"/>
  <c r="O10"/>
  <c r="O7" s="1"/>
  <c r="O9"/>
  <c r="J13" i="161"/>
  <c r="J11"/>
  <c r="J10"/>
  <c r="J9"/>
  <c r="J8"/>
  <c r="J6"/>
  <c r="N11"/>
  <c r="N10"/>
  <c r="N7" s="1"/>
  <c r="N9"/>
  <c r="O8" s="1"/>
  <c r="N6"/>
  <c r="J13" i="162"/>
  <c r="J11"/>
  <c r="J10"/>
  <c r="J9"/>
  <c r="J8"/>
  <c r="J6"/>
  <c r="N11"/>
  <c r="N10"/>
  <c r="N7" s="1"/>
  <c r="N9"/>
  <c r="O8" s="1"/>
  <c r="N6"/>
  <c r="J13" i="163"/>
  <c r="J11"/>
  <c r="J10"/>
  <c r="J9"/>
  <c r="J8"/>
  <c r="J6"/>
  <c r="N11"/>
  <c r="N10"/>
  <c r="N7" s="1"/>
  <c r="N9"/>
  <c r="O8" s="1"/>
  <c r="N6"/>
  <c r="M6" i="161"/>
  <c r="M11"/>
  <c r="M10"/>
  <c r="M9"/>
  <c r="N8" s="1"/>
  <c r="M8"/>
  <c r="Q6"/>
  <c r="Q11"/>
  <c r="Q10"/>
  <c r="Q7" s="1"/>
  <c r="Q9"/>
  <c r="M6" i="162"/>
  <c r="M11"/>
  <c r="M10"/>
  <c r="M9"/>
  <c r="N8" s="1"/>
  <c r="M8"/>
  <c r="Q6"/>
  <c r="Q11"/>
  <c r="Q10"/>
  <c r="Q7" s="1"/>
  <c r="Q9"/>
  <c r="M6" i="163"/>
  <c r="M11"/>
  <c r="M10"/>
  <c r="M7" s="1"/>
  <c r="M9"/>
  <c r="N8" s="1"/>
  <c r="M8"/>
  <c r="Q6"/>
  <c r="Q11"/>
  <c r="Q10"/>
  <c r="Q7" s="1"/>
  <c r="Q9"/>
  <c r="L13" i="161"/>
  <c r="L11"/>
  <c r="L10"/>
  <c r="L9"/>
  <c r="L8"/>
  <c r="L6"/>
  <c r="P11"/>
  <c r="P10"/>
  <c r="P9"/>
  <c r="Q8" s="1"/>
  <c r="P8"/>
  <c r="P6"/>
  <c r="L13" i="162"/>
  <c r="L11"/>
  <c r="L10"/>
  <c r="L9"/>
  <c r="L8"/>
  <c r="L6"/>
  <c r="P11"/>
  <c r="P10"/>
  <c r="P9"/>
  <c r="Q8" s="1"/>
  <c r="P8"/>
  <c r="P6"/>
  <c r="L13" i="163"/>
  <c r="L11"/>
  <c r="L10"/>
  <c r="L9"/>
  <c r="L8"/>
  <c r="L6"/>
  <c r="P11"/>
  <c r="P10"/>
  <c r="P9"/>
  <c r="Q8" s="1"/>
  <c r="P8"/>
  <c r="P6"/>
  <c r="J144" i="199"/>
  <c r="J53"/>
  <c r="J36"/>
  <c r="N144"/>
  <c r="N53"/>
  <c r="N36"/>
  <c r="K52"/>
  <c r="K36"/>
  <c r="K144"/>
  <c r="K53"/>
  <c r="K35"/>
  <c r="O36"/>
  <c r="O144"/>
  <c r="O53"/>
  <c r="L144"/>
  <c r="L53"/>
  <c r="L35"/>
  <c r="L52"/>
  <c r="L36"/>
  <c r="P144"/>
  <c r="P53"/>
  <c r="P36"/>
  <c r="M214"/>
  <c r="M60" i="162" s="1"/>
  <c r="M36" i="199"/>
  <c r="M144"/>
  <c r="M53"/>
  <c r="Q36"/>
  <c r="Q144"/>
  <c r="Q53"/>
  <c r="J51" i="202"/>
  <c r="N33" i="180" s="1"/>
  <c r="I25" i="202"/>
  <c r="K71" i="191"/>
  <c r="K72"/>
  <c r="J180" i="199"/>
  <c r="J214"/>
  <c r="J60" i="162" s="1"/>
  <c r="J213" i="199"/>
  <c r="J48" i="163" s="1"/>
  <c r="J212" i="199"/>
  <c r="N214"/>
  <c r="N60" i="162" s="1"/>
  <c r="K214" i="199"/>
  <c r="K60" i="162" s="1"/>
  <c r="K213" i="199"/>
  <c r="K48" i="163" s="1"/>
  <c r="K48" i="203" s="1"/>
  <c r="O60" i="180" s="1"/>
  <c r="K212" i="199"/>
  <c r="O214"/>
  <c r="O60" i="162" s="1"/>
  <c r="O60" i="202" s="1"/>
  <c r="S39" i="180" s="1"/>
  <c r="K60" i="196"/>
  <c r="K60" i="202" s="1"/>
  <c r="O39" i="180" s="1"/>
  <c r="K50" i="196"/>
  <c r="K48"/>
  <c r="K48" i="202" s="1"/>
  <c r="K42" i="196"/>
  <c r="K40"/>
  <c r="K32"/>
  <c r="K30"/>
  <c r="K30" i="202" s="1"/>
  <c r="K24" i="196"/>
  <c r="K22"/>
  <c r="K63"/>
  <c r="K63" i="202" s="1"/>
  <c r="K59" i="196"/>
  <c r="K49"/>
  <c r="K43"/>
  <c r="K43" i="202" s="1"/>
  <c r="K41" i="196"/>
  <c r="K39"/>
  <c r="K31"/>
  <c r="K29"/>
  <c r="K29" i="202" s="1"/>
  <c r="K23" i="196"/>
  <c r="K20"/>
  <c r="K21" s="1"/>
  <c r="J25"/>
  <c r="J51"/>
  <c r="J21"/>
  <c r="J33"/>
  <c r="J44"/>
  <c r="J73" i="191"/>
  <c r="I33" i="202"/>
  <c r="I44"/>
  <c r="L71" i="191"/>
  <c r="L72"/>
  <c r="L214" i="199"/>
  <c r="L60" i="162" s="1"/>
  <c r="L213" i="199"/>
  <c r="L48" i="163" s="1"/>
  <c r="L212" i="199"/>
  <c r="P214"/>
  <c r="P60" i="162" s="1"/>
  <c r="P60" i="202" s="1"/>
  <c r="P212" i="199"/>
  <c r="Q212"/>
  <c r="Q214"/>
  <c r="Q60" i="162" s="1"/>
  <c r="Q60" i="202" s="1"/>
  <c r="J49" i="197"/>
  <c r="J62" i="196"/>
  <c r="I51" i="202"/>
  <c r="J6" i="196"/>
  <c r="J59" i="202"/>
  <c r="N38" i="180" s="1"/>
  <c r="J44" i="202"/>
  <c r="J33"/>
  <c r="N29" i="180" s="1"/>
  <c r="J200" i="199"/>
  <c r="J188"/>
  <c r="J128"/>
  <c r="J112"/>
  <c r="J78"/>
  <c r="J46"/>
  <c r="J206"/>
  <c r="J194"/>
  <c r="J178"/>
  <c r="J121"/>
  <c r="J83" i="193" s="1"/>
  <c r="J95" i="199"/>
  <c r="J64" i="193" s="1"/>
  <c r="J66" i="199"/>
  <c r="J29"/>
  <c r="K206"/>
  <c r="K194"/>
  <c r="K178"/>
  <c r="K112"/>
  <c r="K121"/>
  <c r="K83" i="193" s="1"/>
  <c r="K95" i="199"/>
  <c r="K64" i="193" s="1"/>
  <c r="K66" i="199"/>
  <c r="K29"/>
  <c r="K200"/>
  <c r="K188"/>
  <c r="K128"/>
  <c r="K78"/>
  <c r="K46"/>
  <c r="J13" i="195"/>
  <c r="J22" i="197"/>
  <c r="J26"/>
  <c r="L200" i="199"/>
  <c r="L188"/>
  <c r="L128"/>
  <c r="L78"/>
  <c r="L46"/>
  <c r="L206"/>
  <c r="L194"/>
  <c r="L178"/>
  <c r="L112"/>
  <c r="L121"/>
  <c r="L83" i="193" s="1"/>
  <c r="L95" i="199"/>
  <c r="L64" i="193" s="1"/>
  <c r="L66" i="199"/>
  <c r="L29"/>
  <c r="K6" i="191"/>
  <c r="J6" i="195"/>
  <c r="K6" i="190"/>
  <c r="J6" i="197"/>
  <c r="K47"/>
  <c r="K46"/>
  <c r="K45"/>
  <c r="K44"/>
  <c r="K43"/>
  <c r="K38"/>
  <c r="K37"/>
  <c r="K36"/>
  <c r="K35"/>
  <c r="K30"/>
  <c r="K29"/>
  <c r="K28"/>
  <c r="K27"/>
  <c r="K25"/>
  <c r="K24"/>
  <c r="K23"/>
  <c r="K21"/>
  <c r="K20"/>
  <c r="K8"/>
  <c r="K10"/>
  <c r="K7" s="1"/>
  <c r="K9"/>
  <c r="L12" s="1"/>
  <c r="L48" s="1"/>
  <c r="L48" i="203" s="1"/>
  <c r="P60" i="180" s="1"/>
  <c r="K11" i="197"/>
  <c r="K13" s="1"/>
  <c r="J13" i="193"/>
  <c r="J8"/>
  <c r="J11"/>
  <c r="J10"/>
  <c r="J9"/>
  <c r="J6"/>
  <c r="N11"/>
  <c r="N10"/>
  <c r="N7" s="1"/>
  <c r="N9"/>
  <c r="N6" s="1"/>
  <c r="J6" i="199"/>
  <c r="J202"/>
  <c r="J43" i="162" s="1"/>
  <c r="J190" i="199"/>
  <c r="J122"/>
  <c r="J45" i="163" s="1"/>
  <c r="J45" i="203" s="1"/>
  <c r="J108" i="199"/>
  <c r="J102"/>
  <c r="J96"/>
  <c r="J43" i="163" s="1"/>
  <c r="J43" i="203" s="1"/>
  <c r="J80" i="199"/>
  <c r="J68"/>
  <c r="J208"/>
  <c r="J50" i="162" s="1"/>
  <c r="J196" i="199"/>
  <c r="J32" i="162" s="1"/>
  <c r="J207" i="199"/>
  <c r="J38" i="163" s="1"/>
  <c r="J38" i="203" s="1"/>
  <c r="J172" i="199"/>
  <c r="J123"/>
  <c r="J46" i="163" s="1"/>
  <c r="J46" i="203" s="1"/>
  <c r="J103" i="199"/>
  <c r="J97"/>
  <c r="J44" i="163" s="1"/>
  <c r="J44" i="203" s="1"/>
  <c r="J28" i="163"/>
  <c r="J22" i="199"/>
  <c r="J21"/>
  <c r="J20"/>
  <c r="AX28" i="180" s="1"/>
  <c r="AX50" s="1"/>
  <c r="J19" i="199"/>
  <c r="AX21" i="180" s="1"/>
  <c r="AX49" s="1"/>
  <c r="J18" i="199"/>
  <c r="AX14" i="180" s="1"/>
  <c r="AX48" s="1"/>
  <c r="J11" i="199"/>
  <c r="J10"/>
  <c r="J9"/>
  <c r="J8"/>
  <c r="J13"/>
  <c r="N208"/>
  <c r="N50" i="162" s="1"/>
  <c r="N196" i="199"/>
  <c r="N32" i="162" s="1"/>
  <c r="N123" i="199"/>
  <c r="N46" i="163" s="1"/>
  <c r="N103" i="199"/>
  <c r="N97"/>
  <c r="N44" i="163" s="1"/>
  <c r="N80" i="199"/>
  <c r="N68"/>
  <c r="N202"/>
  <c r="N43" i="162" s="1"/>
  <c r="N190" i="199"/>
  <c r="N24" i="162" s="1"/>
  <c r="N172" i="199"/>
  <c r="N122"/>
  <c r="N45" i="163" s="1"/>
  <c r="N108" i="199"/>
  <c r="N102"/>
  <c r="N96"/>
  <c r="N43" i="163" s="1"/>
  <c r="N22" i="199"/>
  <c r="N21"/>
  <c r="N20"/>
  <c r="BB28" i="180" s="1"/>
  <c r="BB50" s="1"/>
  <c r="N19" i="199"/>
  <c r="BB21" i="180" s="1"/>
  <c r="BB49" s="1"/>
  <c r="N18" i="199"/>
  <c r="BB14" i="180" s="1"/>
  <c r="BB48" s="1"/>
  <c r="N11" i="199"/>
  <c r="N10"/>
  <c r="N7" s="1"/>
  <c r="N9"/>
  <c r="O8" s="1"/>
  <c r="K13" i="193"/>
  <c r="K11"/>
  <c r="K10"/>
  <c r="K9"/>
  <c r="K8"/>
  <c r="K6"/>
  <c r="O11"/>
  <c r="O10"/>
  <c r="O7" s="1"/>
  <c r="O9"/>
  <c r="O6" s="1"/>
  <c r="O8"/>
  <c r="K13" i="199"/>
  <c r="K202"/>
  <c r="K43" i="162" s="1"/>
  <c r="K190" i="199"/>
  <c r="K24" i="162" s="1"/>
  <c r="K172" i="199"/>
  <c r="K122"/>
  <c r="K45" i="163" s="1"/>
  <c r="K108" i="199"/>
  <c r="K102"/>
  <c r="K96"/>
  <c r="K43" i="163" s="1"/>
  <c r="K208" i="199"/>
  <c r="K50" i="162" s="1"/>
  <c r="K207" i="199"/>
  <c r="K38" i="163" s="1"/>
  <c r="K38" i="203" s="1"/>
  <c r="K196" i="199"/>
  <c r="K32" i="162" s="1"/>
  <c r="K123" i="199"/>
  <c r="K46" i="163" s="1"/>
  <c r="K103" i="199"/>
  <c r="K97"/>
  <c r="K44" i="163" s="1"/>
  <c r="K80" i="199"/>
  <c r="K68"/>
  <c r="K22"/>
  <c r="K21"/>
  <c r="K20"/>
  <c r="AY28" i="180" s="1"/>
  <c r="AY50" s="1"/>
  <c r="K19" i="199"/>
  <c r="AY21" i="180" s="1"/>
  <c r="AY49" s="1"/>
  <c r="K18" i="199"/>
  <c r="AY14" i="180" s="1"/>
  <c r="AY48" s="1"/>
  <c r="K11" i="199"/>
  <c r="K10"/>
  <c r="K9"/>
  <c r="K8"/>
  <c r="K6"/>
  <c r="O202"/>
  <c r="O43" i="162" s="1"/>
  <c r="O43" i="202" s="1"/>
  <c r="O190" i="199"/>
  <c r="O24" i="162" s="1"/>
  <c r="O24" i="202" s="1"/>
  <c r="O172" i="199"/>
  <c r="O122"/>
  <c r="O45" i="163" s="1"/>
  <c r="O108" i="199"/>
  <c r="O102"/>
  <c r="O96"/>
  <c r="O43" i="163" s="1"/>
  <c r="O208" i="199"/>
  <c r="O50" i="162" s="1"/>
  <c r="O50" i="202" s="1"/>
  <c r="O196" i="199"/>
  <c r="O32" i="162" s="1"/>
  <c r="O32" i="202" s="1"/>
  <c r="O123" i="199"/>
  <c r="O46" i="163" s="1"/>
  <c r="O103" i="199"/>
  <c r="O97"/>
  <c r="O44" i="163" s="1"/>
  <c r="O80" i="199"/>
  <c r="O68"/>
  <c r="O22"/>
  <c r="O79" s="1"/>
  <c r="O81" s="1"/>
  <c r="O166" s="1"/>
  <c r="O21"/>
  <c r="O20"/>
  <c r="BC28" i="180" s="1"/>
  <c r="BC50" s="1"/>
  <c r="O19" i="199"/>
  <c r="BC21" i="180" s="1"/>
  <c r="BC49" s="1"/>
  <c r="O18" i="199"/>
  <c r="BC14" i="180" s="1"/>
  <c r="BC48" s="1"/>
  <c r="O11" i="199"/>
  <c r="O10"/>
  <c r="O7" s="1"/>
  <c r="O9"/>
  <c r="P8" s="1"/>
  <c r="O6"/>
  <c r="K40" i="202"/>
  <c r="K23"/>
  <c r="K39"/>
  <c r="K10" i="196"/>
  <c r="K7" s="1"/>
  <c r="K50" i="202"/>
  <c r="K42"/>
  <c r="K32"/>
  <c r="K24"/>
  <c r="K49"/>
  <c r="K41"/>
  <c r="K31"/>
  <c r="K8" i="196"/>
  <c r="K9" s="1"/>
  <c r="L12" s="1"/>
  <c r="K11"/>
  <c r="K6"/>
  <c r="J21" i="195"/>
  <c r="J25" s="1"/>
  <c r="J13" i="197"/>
  <c r="J39"/>
  <c r="J74" i="196"/>
  <c r="J13"/>
  <c r="K37" i="195"/>
  <c r="K33"/>
  <c r="K29"/>
  <c r="K23"/>
  <c r="AY27" i="180" s="1"/>
  <c r="AY47" s="1"/>
  <c r="K19" i="195"/>
  <c r="AY20" i="180" s="1"/>
  <c r="AY46" s="1"/>
  <c r="K18" i="195"/>
  <c r="AY13" i="180" s="1"/>
  <c r="AY45" s="1"/>
  <c r="K10" i="195"/>
  <c r="K8"/>
  <c r="K9" s="1"/>
  <c r="L12" s="1"/>
  <c r="K7"/>
  <c r="K6"/>
  <c r="K11"/>
  <c r="L13" i="193"/>
  <c r="L11"/>
  <c r="L10"/>
  <c r="L9"/>
  <c r="L8"/>
  <c r="L6"/>
  <c r="P11"/>
  <c r="P10"/>
  <c r="P7" s="1"/>
  <c r="P9"/>
  <c r="P6" s="1"/>
  <c r="P8"/>
  <c r="L6" i="199"/>
  <c r="L208"/>
  <c r="L50" i="162" s="1"/>
  <c r="L207" i="199"/>
  <c r="L38" i="163" s="1"/>
  <c r="L196" i="199"/>
  <c r="L32" i="162" s="1"/>
  <c r="L123" i="199"/>
  <c r="L46" i="163" s="1"/>
  <c r="L103" i="199"/>
  <c r="L97"/>
  <c r="L44" i="163" s="1"/>
  <c r="L80" i="199"/>
  <c r="L68"/>
  <c r="L202"/>
  <c r="L43" i="162" s="1"/>
  <c r="L190" i="199"/>
  <c r="L24" i="162" s="1"/>
  <c r="L172" i="199"/>
  <c r="L122"/>
  <c r="L45" i="163" s="1"/>
  <c r="L108" i="199"/>
  <c r="L102"/>
  <c r="L96"/>
  <c r="L43" i="163" s="1"/>
  <c r="L22" i="199"/>
  <c r="L21"/>
  <c r="L20"/>
  <c r="AZ28" i="180" s="1"/>
  <c r="AZ50" s="1"/>
  <c r="L19" i="199"/>
  <c r="AZ21" i="180" s="1"/>
  <c r="AZ49" s="1"/>
  <c r="L18" i="199"/>
  <c r="AZ14" i="180" s="1"/>
  <c r="AZ48" s="1"/>
  <c r="L11" i="199"/>
  <c r="L10"/>
  <c r="L9"/>
  <c r="L8"/>
  <c r="L13"/>
  <c r="P208"/>
  <c r="P50" i="162" s="1"/>
  <c r="P50" i="202" s="1"/>
  <c r="P196" i="199"/>
  <c r="P32" i="162" s="1"/>
  <c r="P32" i="202" s="1"/>
  <c r="P123" i="199"/>
  <c r="P46" i="163" s="1"/>
  <c r="P103" i="199"/>
  <c r="P97"/>
  <c r="P44" i="163" s="1"/>
  <c r="P80" i="199"/>
  <c r="P68"/>
  <c r="P202"/>
  <c r="P43" i="162" s="1"/>
  <c r="P43" i="202" s="1"/>
  <c r="P190" i="199"/>
  <c r="P24" i="162" s="1"/>
  <c r="P24" i="202" s="1"/>
  <c r="P172" i="199"/>
  <c r="P122"/>
  <c r="P45" i="163" s="1"/>
  <c r="P108" i="199"/>
  <c r="P102"/>
  <c r="P96"/>
  <c r="P43" i="163" s="1"/>
  <c r="P22" i="199"/>
  <c r="P79" s="1"/>
  <c r="P21"/>
  <c r="P67" s="1"/>
  <c r="P20"/>
  <c r="P24" i="163" s="1"/>
  <c r="P19" i="199"/>
  <c r="BD21" i="180" s="1"/>
  <c r="BD49" s="1"/>
  <c r="P18" i="199"/>
  <c r="BD14" i="180" s="1"/>
  <c r="BD48" s="1"/>
  <c r="P11" i="199"/>
  <c r="P10"/>
  <c r="P7" s="1"/>
  <c r="P9"/>
  <c r="Q8" s="1"/>
  <c r="M11" i="193"/>
  <c r="M10"/>
  <c r="M7" s="1"/>
  <c r="M9"/>
  <c r="N8" s="1"/>
  <c r="M8"/>
  <c r="Q11"/>
  <c r="Q10"/>
  <c r="Q7" s="1"/>
  <c r="Q9"/>
  <c r="Q6" s="1"/>
  <c r="M202" i="199"/>
  <c r="M43" i="162" s="1"/>
  <c r="M190" i="199"/>
  <c r="M24" i="162" s="1"/>
  <c r="M172" i="199"/>
  <c r="M122"/>
  <c r="M45" i="163" s="1"/>
  <c r="M108" i="199"/>
  <c r="M102"/>
  <c r="M96"/>
  <c r="M43" i="163" s="1"/>
  <c r="M208" i="199"/>
  <c r="M50" i="162" s="1"/>
  <c r="M196" i="199"/>
  <c r="M32" i="162" s="1"/>
  <c r="M123" i="199"/>
  <c r="M46" i="163" s="1"/>
  <c r="M103" i="199"/>
  <c r="M97"/>
  <c r="M44" i="163" s="1"/>
  <c r="M80" i="199"/>
  <c r="M68"/>
  <c r="M22"/>
  <c r="M21"/>
  <c r="M20"/>
  <c r="BA28" i="180" s="1"/>
  <c r="BA50" s="1"/>
  <c r="M19" i="199"/>
  <c r="BA21" i="180" s="1"/>
  <c r="BA49" s="1"/>
  <c r="M18" i="199"/>
  <c r="BA14" i="180" s="1"/>
  <c r="BA48" s="1"/>
  <c r="M11" i="199"/>
  <c r="M10"/>
  <c r="M7" s="1"/>
  <c r="M9"/>
  <c r="N8" s="1"/>
  <c r="M8"/>
  <c r="M6"/>
  <c r="Q202"/>
  <c r="Q43" i="162" s="1"/>
  <c r="Q43" i="202" s="1"/>
  <c r="Q190" i="199"/>
  <c r="Q24" i="162" s="1"/>
  <c r="Q24" i="202" s="1"/>
  <c r="Q172" i="199"/>
  <c r="Q122"/>
  <c r="Q45" i="163" s="1"/>
  <c r="Q108" i="199"/>
  <c r="Q102"/>
  <c r="Q96"/>
  <c r="Q43" i="163" s="1"/>
  <c r="Q208" i="199"/>
  <c r="Q50" i="162" s="1"/>
  <c r="Q50" i="202" s="1"/>
  <c r="Q196" i="199"/>
  <c r="Q32" i="162" s="1"/>
  <c r="Q32" i="202" s="1"/>
  <c r="Q123" i="199"/>
  <c r="Q46" i="163" s="1"/>
  <c r="Q103" i="199"/>
  <c r="Q97"/>
  <c r="Q44" i="163" s="1"/>
  <c r="Q80" i="199"/>
  <c r="Q68"/>
  <c r="Q22"/>
  <c r="Q79" s="1"/>
  <c r="Q81" s="1"/>
  <c r="Q166" s="1"/>
  <c r="Q21"/>
  <c r="Q67" s="1"/>
  <c r="Q69" s="1"/>
  <c r="Q165" s="1"/>
  <c r="Q20"/>
  <c r="Q19"/>
  <c r="BE21" i="180" s="1"/>
  <c r="BE49" s="1"/>
  <c r="Q18" i="199"/>
  <c r="BE14" i="180" s="1"/>
  <c r="BE48" s="1"/>
  <c r="Q11" i="199"/>
  <c r="Q10"/>
  <c r="Q7" s="1"/>
  <c r="Q9"/>
  <c r="Q6"/>
  <c r="K13" i="192"/>
  <c r="J13" i="191"/>
  <c r="K13" i="190"/>
  <c r="K13" i="191"/>
  <c r="L11" i="190"/>
  <c r="L8"/>
  <c r="L9" s="1"/>
  <c r="M12" s="1"/>
  <c r="L10"/>
  <c r="L7" s="1"/>
  <c r="L8" i="192"/>
  <c r="L9" s="1"/>
  <c r="M12" s="1"/>
  <c r="L11"/>
  <c r="L10"/>
  <c r="L11" i="191"/>
  <c r="L8"/>
  <c r="L9" s="1"/>
  <c r="M12" s="1"/>
  <c r="L10"/>
  <c r="L13" s="1"/>
  <c r="O20" i="163"/>
  <c r="O36"/>
  <c r="L104" i="199" l="1"/>
  <c r="M13" i="162"/>
  <c r="P13" i="163"/>
  <c r="P13" i="161"/>
  <c r="Q13" i="162"/>
  <c r="Q13" i="161"/>
  <c r="M13"/>
  <c r="O13"/>
  <c r="O7"/>
  <c r="P7" i="163"/>
  <c r="P7" i="161"/>
  <c r="M7" i="162"/>
  <c r="M7" i="161"/>
  <c r="P13" i="162"/>
  <c r="Q13" i="163"/>
  <c r="M13"/>
  <c r="N13" i="162"/>
  <c r="P7"/>
  <c r="O23" i="163"/>
  <c r="Q8" i="193"/>
  <c r="P81" i="199"/>
  <c r="P166" s="1"/>
  <c r="N13"/>
  <c r="P69"/>
  <c r="P165" s="1"/>
  <c r="I35" i="202"/>
  <c r="N13" i="163"/>
  <c r="N13" i="161"/>
  <c r="O13" i="163"/>
  <c r="O13" i="162"/>
  <c r="L152" i="199"/>
  <c r="L153"/>
  <c r="Q152"/>
  <c r="Q153"/>
  <c r="M152"/>
  <c r="M153"/>
  <c r="P152"/>
  <c r="P153"/>
  <c r="O152"/>
  <c r="O153"/>
  <c r="K152"/>
  <c r="K153"/>
  <c r="N152"/>
  <c r="N153"/>
  <c r="P35" i="163"/>
  <c r="J152" i="199"/>
  <c r="J153"/>
  <c r="J64" i="196"/>
  <c r="K61" s="1"/>
  <c r="P23" i="161"/>
  <c r="BD28" i="180"/>
  <c r="BD50" s="1"/>
  <c r="J53" i="202"/>
  <c r="N32" i="180"/>
  <c r="O13" i="193"/>
  <c r="Q164" i="199"/>
  <c r="BE28" i="180"/>
  <c r="BE50" s="1"/>
  <c r="J31" i="195"/>
  <c r="J35" s="1"/>
  <c r="J39" s="1"/>
  <c r="N57" i="180"/>
  <c r="N58"/>
  <c r="J62" i="202"/>
  <c r="K33" i="196"/>
  <c r="K44"/>
  <c r="K25"/>
  <c r="K35" s="1"/>
  <c r="K51"/>
  <c r="K73" i="191"/>
  <c r="N104" i="199"/>
  <c r="P213"/>
  <c r="P48" i="163" s="1"/>
  <c r="P85" s="1"/>
  <c r="M71" i="191"/>
  <c r="M72"/>
  <c r="L63" i="196"/>
  <c r="L63" i="202" s="1"/>
  <c r="L59" i="196"/>
  <c r="L49"/>
  <c r="L49" i="202" s="1"/>
  <c r="L43" i="196"/>
  <c r="L43" i="202" s="1"/>
  <c r="L41" i="196"/>
  <c r="L41" i="202" s="1"/>
  <c r="L39" i="196"/>
  <c r="L31"/>
  <c r="L29"/>
  <c r="L29" i="202" s="1"/>
  <c r="L23" i="196"/>
  <c r="L23" i="202" s="1"/>
  <c r="L20" i="196"/>
  <c r="L60"/>
  <c r="L60" i="202" s="1"/>
  <c r="P39" i="180" s="1"/>
  <c r="L50" i="196"/>
  <c r="L50" i="202" s="1"/>
  <c r="L48" i="196"/>
  <c r="L48" i="202" s="1"/>
  <c r="L42" i="196"/>
  <c r="L40"/>
  <c r="L32"/>
  <c r="L32" i="202" s="1"/>
  <c r="L30" i="196"/>
  <c r="L30" i="202" s="1"/>
  <c r="L24" i="196"/>
  <c r="L22"/>
  <c r="L72" s="1"/>
  <c r="K43" i="203"/>
  <c r="K49" i="197"/>
  <c r="L85" i="163"/>
  <c r="L100"/>
  <c r="J85"/>
  <c r="J100"/>
  <c r="J48" i="203"/>
  <c r="N60" i="180" s="1"/>
  <c r="K45" i="203"/>
  <c r="Q213" i="199"/>
  <c r="Q48" i="163" s="1"/>
  <c r="L73" i="191"/>
  <c r="I53" i="202"/>
  <c r="J53" i="196"/>
  <c r="J35"/>
  <c r="K85" i="163"/>
  <c r="K100"/>
  <c r="K44" i="203"/>
  <c r="K46"/>
  <c r="K72" i="196"/>
  <c r="J65" i="163"/>
  <c r="J28" i="203"/>
  <c r="K59" i="202"/>
  <c r="O38" i="180" s="1"/>
  <c r="M6" i="193"/>
  <c r="O73" i="163"/>
  <c r="K73" i="196"/>
  <c r="K75" i="163"/>
  <c r="K33" i="202"/>
  <c r="O29" i="180" s="1"/>
  <c r="L75" i="163"/>
  <c r="J75"/>
  <c r="K44" i="202"/>
  <c r="O32" i="180" s="1"/>
  <c r="K51" i="202"/>
  <c r="O33" i="180" s="1"/>
  <c r="O13" i="199"/>
  <c r="L13" i="190"/>
  <c r="J31" i="197"/>
  <c r="L6" i="190"/>
  <c r="L7" i="191"/>
  <c r="L6" i="192"/>
  <c r="O19" i="161"/>
  <c r="N13" i="193"/>
  <c r="J201" i="199"/>
  <c r="M13" i="193"/>
  <c r="O18" i="161"/>
  <c r="O21" s="1"/>
  <c r="Q13" i="199"/>
  <c r="Q13" i="193"/>
  <c r="P13"/>
  <c r="Q194" i="199"/>
  <c r="Q195" s="1"/>
  <c r="Q200"/>
  <c r="Q201" s="1"/>
  <c r="P188"/>
  <c r="P189" s="1"/>
  <c r="P29" i="163" s="1"/>
  <c r="P206" i="199"/>
  <c r="P207" s="1"/>
  <c r="P38" i="163" s="1"/>
  <c r="Q206" i="199"/>
  <c r="Q188"/>
  <c r="P200"/>
  <c r="P201" s="1"/>
  <c r="P194"/>
  <c r="P195" s="1"/>
  <c r="K13" i="195"/>
  <c r="M13" i="199"/>
  <c r="P13"/>
  <c r="L189"/>
  <c r="L29" i="163" s="1"/>
  <c r="L201" i="199"/>
  <c r="L74" i="163" s="1"/>
  <c r="L195" i="199"/>
  <c r="K21" i="195"/>
  <c r="K25" s="1"/>
  <c r="K13" i="196"/>
  <c r="K189" i="199"/>
  <c r="K29" i="163" s="1"/>
  <c r="K201" i="199"/>
  <c r="K37" i="203" s="1"/>
  <c r="O54" i="180" s="1"/>
  <c r="K6" i="197"/>
  <c r="K39"/>
  <c r="L6" i="191"/>
  <c r="P6" i="199"/>
  <c r="N6"/>
  <c r="Q163"/>
  <c r="Q47"/>
  <c r="Q81" i="163"/>
  <c r="Q99"/>
  <c r="Q80"/>
  <c r="Q98"/>
  <c r="M30" i="199"/>
  <c r="M162"/>
  <c r="M18" i="161"/>
  <c r="M20" i="163"/>
  <c r="M164" i="199"/>
  <c r="M23" i="161"/>
  <c r="M24" i="163"/>
  <c r="M79" i="199"/>
  <c r="M81" s="1"/>
  <c r="M36" i="163"/>
  <c r="M83"/>
  <c r="M103"/>
  <c r="M82"/>
  <c r="M102"/>
  <c r="P163" i="199"/>
  <c r="P47"/>
  <c r="P82" i="163"/>
  <c r="P102"/>
  <c r="P81"/>
  <c r="P99"/>
  <c r="L163" i="199"/>
  <c r="L47"/>
  <c r="L23" i="163"/>
  <c r="L19" i="161"/>
  <c r="L67" i="199"/>
  <c r="L69" s="1"/>
  <c r="L35" i="163"/>
  <c r="L98" i="199"/>
  <c r="L67" i="193" s="1"/>
  <c r="L82" i="163"/>
  <c r="L102"/>
  <c r="L39" i="202"/>
  <c r="L40"/>
  <c r="L10" i="196"/>
  <c r="L7" s="1"/>
  <c r="L31" i="202"/>
  <c r="L42"/>
  <c r="L24"/>
  <c r="L11" i="196"/>
  <c r="L8"/>
  <c r="L9" s="1"/>
  <c r="M12" s="1"/>
  <c r="O47" i="199"/>
  <c r="O163"/>
  <c r="O67"/>
  <c r="O69" s="1"/>
  <c r="O165" s="1"/>
  <c r="O35" i="163"/>
  <c r="O81"/>
  <c r="O99"/>
  <c r="O80"/>
  <c r="O98"/>
  <c r="K47" i="199"/>
  <c r="K163"/>
  <c r="K23" i="163"/>
  <c r="K23" i="203" s="1"/>
  <c r="K19" i="161"/>
  <c r="K19" i="201" s="1"/>
  <c r="O12" i="180" s="1"/>
  <c r="K67" i="199"/>
  <c r="K69" s="1"/>
  <c r="K35" i="163"/>
  <c r="K35" i="203" s="1"/>
  <c r="K81" i="163"/>
  <c r="K99"/>
  <c r="K83"/>
  <c r="K103"/>
  <c r="K98" i="199"/>
  <c r="K67" i="193" s="1"/>
  <c r="K82" i="163"/>
  <c r="K102"/>
  <c r="N163" i="199"/>
  <c r="N47"/>
  <c r="N23" i="163"/>
  <c r="N19" i="161"/>
  <c r="N67" i="199"/>
  <c r="N69" s="1"/>
  <c r="N35" i="163"/>
  <c r="N80"/>
  <c r="N98"/>
  <c r="N83"/>
  <c r="N103"/>
  <c r="J30" i="199"/>
  <c r="J162"/>
  <c r="J18" i="161"/>
  <c r="J18" i="201" s="1"/>
  <c r="N11" i="180" s="1"/>
  <c r="J20" i="163"/>
  <c r="J20" i="203" s="1"/>
  <c r="J164" i="199"/>
  <c r="J23" i="161"/>
  <c r="J23" i="201" s="1"/>
  <c r="N14" i="180" s="1"/>
  <c r="J24" i="163"/>
  <c r="J24" i="203" s="1"/>
  <c r="J79" i="199"/>
  <c r="J81" s="1"/>
  <c r="J36" i="163"/>
  <c r="J36" i="203" s="1"/>
  <c r="J98" i="199"/>
  <c r="J67" i="193" s="1"/>
  <c r="J124" i="199"/>
  <c r="J86" i="193" s="1"/>
  <c r="J82" i="163"/>
  <c r="J102"/>
  <c r="J189" i="199"/>
  <c r="J29" i="163" s="1"/>
  <c r="J24" i="162"/>
  <c r="Q189" i="199"/>
  <c r="Q29" i="163" s="1"/>
  <c r="Q207" i="199"/>
  <c r="Q38" i="163" s="1"/>
  <c r="M104" i="199"/>
  <c r="P104"/>
  <c r="K195"/>
  <c r="K104"/>
  <c r="J104"/>
  <c r="J195"/>
  <c r="Q162"/>
  <c r="Q30"/>
  <c r="Q83" i="163"/>
  <c r="Q103"/>
  <c r="Q82"/>
  <c r="Q102"/>
  <c r="M163" i="199"/>
  <c r="M47"/>
  <c r="M23" i="163"/>
  <c r="M19" i="161"/>
  <c r="M67" i="199"/>
  <c r="M69" s="1"/>
  <c r="M35" i="163"/>
  <c r="M81"/>
  <c r="M99"/>
  <c r="M80"/>
  <c r="M98"/>
  <c r="P30" i="199"/>
  <c r="P162"/>
  <c r="P164"/>
  <c r="P80" i="163"/>
  <c r="P98"/>
  <c r="P83"/>
  <c r="P103"/>
  <c r="L162" i="199"/>
  <c r="L30"/>
  <c r="L20" i="163"/>
  <c r="L18" i="161"/>
  <c r="L164" i="199"/>
  <c r="L23" i="161"/>
  <c r="L24" i="163"/>
  <c r="L79" i="199"/>
  <c r="L81" s="1"/>
  <c r="L36" i="163"/>
  <c r="L80"/>
  <c r="L98"/>
  <c r="L124" i="199"/>
  <c r="L86" i="193" s="1"/>
  <c r="L81" i="163"/>
  <c r="L99"/>
  <c r="L83"/>
  <c r="L103"/>
  <c r="L37" i="195"/>
  <c r="L33"/>
  <c r="L29"/>
  <c r="L23"/>
  <c r="AZ27" i="180" s="1"/>
  <c r="AZ47" s="1"/>
  <c r="L19" i="195"/>
  <c r="AZ20" i="180" s="1"/>
  <c r="AZ46" s="1"/>
  <c r="L18" i="195"/>
  <c r="AZ13" i="180" s="1"/>
  <c r="AZ45" s="1"/>
  <c r="L8" i="195"/>
  <c r="L9" s="1"/>
  <c r="M12" s="1"/>
  <c r="L10"/>
  <c r="L11"/>
  <c r="O30" i="199"/>
  <c r="O162"/>
  <c r="O164"/>
  <c r="O24" i="163"/>
  <c r="O23" i="161"/>
  <c r="O83" i="163"/>
  <c r="O103"/>
  <c r="O82"/>
  <c r="O102"/>
  <c r="K30" i="199"/>
  <c r="K162"/>
  <c r="K18" i="161"/>
  <c r="K18" i="201" s="1"/>
  <c r="K20" i="163"/>
  <c r="K20" i="203" s="1"/>
  <c r="K164" i="199"/>
  <c r="K23" i="161"/>
  <c r="K23" i="201" s="1"/>
  <c r="O14" i="180" s="1"/>
  <c r="K24" i="163"/>
  <c r="K24" i="203" s="1"/>
  <c r="K79" i="199"/>
  <c r="K81" s="1"/>
  <c r="K36" i="163"/>
  <c r="K36" i="203" s="1"/>
  <c r="K80" i="163"/>
  <c r="K98"/>
  <c r="K124" i="199"/>
  <c r="K86" i="193" s="1"/>
  <c r="K74" i="163"/>
  <c r="N30" i="199"/>
  <c r="N162"/>
  <c r="N20" i="163"/>
  <c r="N18" i="161"/>
  <c r="N164" i="199"/>
  <c r="N23" i="161"/>
  <c r="N24" i="163"/>
  <c r="N79" i="199"/>
  <c r="N81" s="1"/>
  <c r="N36" i="163"/>
  <c r="N82"/>
  <c r="N102"/>
  <c r="N81"/>
  <c r="N99"/>
  <c r="J163" i="199"/>
  <c r="J47"/>
  <c r="J23" i="163"/>
  <c r="J23" i="203" s="1"/>
  <c r="J19" i="161"/>
  <c r="J19" i="201" s="1"/>
  <c r="N12" i="180" s="1"/>
  <c r="J67" i="199"/>
  <c r="J69" s="1"/>
  <c r="J35" i="163"/>
  <c r="J35" i="203" s="1"/>
  <c r="N53" i="180" s="1"/>
  <c r="J99" i="163"/>
  <c r="J81"/>
  <c r="J103"/>
  <c r="J83"/>
  <c r="J80"/>
  <c r="J98"/>
  <c r="L47" i="197"/>
  <c r="L46"/>
  <c r="L46" i="203" s="1"/>
  <c r="L45" i="197"/>
  <c r="L45" i="203" s="1"/>
  <c r="L44" i="197"/>
  <c r="L44" i="203" s="1"/>
  <c r="L43" i="197"/>
  <c r="L38"/>
  <c r="L38" i="203" s="1"/>
  <c r="L37" i="197"/>
  <c r="L36"/>
  <c r="L36" i="203" s="1"/>
  <c r="L35" i="197"/>
  <c r="L35" i="203" s="1"/>
  <c r="L30" i="197"/>
  <c r="L29"/>
  <c r="L28"/>
  <c r="L27"/>
  <c r="L25"/>
  <c r="L24"/>
  <c r="L23"/>
  <c r="L21"/>
  <c r="L20"/>
  <c r="L20" i="203" s="1"/>
  <c r="L10" i="197"/>
  <c r="L11"/>
  <c r="L8"/>
  <c r="L9" s="1"/>
  <c r="M12" s="1"/>
  <c r="M48" s="1"/>
  <c r="Q104" i="199"/>
  <c r="O104"/>
  <c r="J82"/>
  <c r="K22" i="197"/>
  <c r="K26"/>
  <c r="L13" i="192"/>
  <c r="M8"/>
  <c r="M9" s="1"/>
  <c r="N12" s="1"/>
  <c r="M11"/>
  <c r="M10"/>
  <c r="M10" i="191"/>
  <c r="M7" s="1"/>
  <c r="M8"/>
  <c r="M9" s="1"/>
  <c r="M11"/>
  <c r="M13" s="1"/>
  <c r="L7" i="192"/>
  <c r="M8" i="190"/>
  <c r="M11"/>
  <c r="M10"/>
  <c r="M6"/>
  <c r="M9"/>
  <c r="N12" s="1"/>
  <c r="P20" i="163"/>
  <c r="P23"/>
  <c r="Q24"/>
  <c r="P36"/>
  <c r="Q23" i="161"/>
  <c r="O28"/>
  <c r="P18"/>
  <c r="P19"/>
  <c r="Q36" i="163"/>
  <c r="Q35"/>
  <c r="L82" i="199" l="1"/>
  <c r="L84" s="1"/>
  <c r="L85" s="1"/>
  <c r="L86" s="1"/>
  <c r="O27" i="161"/>
  <c r="O29" s="1"/>
  <c r="L23" i="203"/>
  <c r="L70" i="199"/>
  <c r="L72" s="1"/>
  <c r="L73" s="1"/>
  <c r="L74" s="1"/>
  <c r="O25" i="161"/>
  <c r="I55" i="202"/>
  <c r="I70" s="1"/>
  <c r="I71" s="1"/>
  <c r="I72" s="1"/>
  <c r="J66" i="196"/>
  <c r="P100" i="163"/>
  <c r="J109" i="199"/>
  <c r="J110" s="1"/>
  <c r="K109"/>
  <c r="K110" s="1"/>
  <c r="L109"/>
  <c r="L110" s="1"/>
  <c r="L113" s="1"/>
  <c r="L114" s="1"/>
  <c r="L27" i="163" s="1"/>
  <c r="K82" i="199"/>
  <c r="K84" s="1"/>
  <c r="K85" s="1"/>
  <c r="K86" s="1"/>
  <c r="L24" i="203"/>
  <c r="K62" i="196"/>
  <c r="K62" i="202" s="1"/>
  <c r="M13" i="190"/>
  <c r="P53" i="180"/>
  <c r="P58"/>
  <c r="J55" i="196"/>
  <c r="K31" i="195"/>
  <c r="K35" s="1"/>
  <c r="K39" s="1"/>
  <c r="O58" i="180"/>
  <c r="K21" i="201"/>
  <c r="K25" s="1"/>
  <c r="O11" i="180"/>
  <c r="O53"/>
  <c r="O57"/>
  <c r="M7" i="190"/>
  <c r="M13" i="192"/>
  <c r="L21" i="196"/>
  <c r="M73" i="191"/>
  <c r="K53" i="196"/>
  <c r="K55" s="1"/>
  <c r="L49" i="197"/>
  <c r="L43" i="203"/>
  <c r="P57" i="180" s="1"/>
  <c r="L23" i="201"/>
  <c r="P14" i="180" s="1"/>
  <c r="L19" i="201"/>
  <c r="P12" i="180" s="1"/>
  <c r="L37" i="203"/>
  <c r="P54" i="180" s="1"/>
  <c r="L25" i="196"/>
  <c r="L51"/>
  <c r="M60"/>
  <c r="M60" i="202" s="1"/>
  <c r="Q39" i="180" s="1"/>
  <c r="M50" i="196"/>
  <c r="M50" i="202" s="1"/>
  <c r="M48" i="196"/>
  <c r="M42"/>
  <c r="M40"/>
  <c r="M32"/>
  <c r="M32" i="202" s="1"/>
  <c r="M30" i="196"/>
  <c r="M24"/>
  <c r="M24" i="202" s="1"/>
  <c r="M22" i="196"/>
  <c r="M63"/>
  <c r="M63" i="202" s="1"/>
  <c r="M59" i="196"/>
  <c r="M49"/>
  <c r="M49" i="202" s="1"/>
  <c r="M43" i="196"/>
  <c r="M43" i="202" s="1"/>
  <c r="M41" i="196"/>
  <c r="M39"/>
  <c r="M31"/>
  <c r="M31" i="202" s="1"/>
  <c r="M29" i="196"/>
  <c r="M23"/>
  <c r="M20"/>
  <c r="M21" s="1"/>
  <c r="M61"/>
  <c r="Q85" i="163"/>
  <c r="Q100"/>
  <c r="L18" i="201"/>
  <c r="L33" i="196"/>
  <c r="L44"/>
  <c r="K74"/>
  <c r="J67" i="163"/>
  <c r="J30" i="203"/>
  <c r="P74" i="163"/>
  <c r="Q66"/>
  <c r="J66"/>
  <c r="J29" i="203"/>
  <c r="K66" i="163"/>
  <c r="K29" i="203"/>
  <c r="L67" i="163"/>
  <c r="L30" i="203"/>
  <c r="L66" i="163"/>
  <c r="L29" i="203"/>
  <c r="P67" i="163"/>
  <c r="Q74"/>
  <c r="J74"/>
  <c r="J37" i="203"/>
  <c r="N54" i="180" s="1"/>
  <c r="N55" s="1"/>
  <c r="K67" i="163"/>
  <c r="K30" i="203"/>
  <c r="P66" i="163"/>
  <c r="Q67"/>
  <c r="L59" i="202"/>
  <c r="P38" i="180" s="1"/>
  <c r="J51" i="197"/>
  <c r="N72" i="163"/>
  <c r="P73"/>
  <c r="N73"/>
  <c r="K73"/>
  <c r="L73"/>
  <c r="J21" i="201"/>
  <c r="J25" s="1"/>
  <c r="J73" i="163"/>
  <c r="M73"/>
  <c r="L51" i="202"/>
  <c r="P33" i="180" s="1"/>
  <c r="L33" i="202"/>
  <c r="P29" i="180" s="1"/>
  <c r="Q75" i="163"/>
  <c r="L73" i="196"/>
  <c r="L74" s="1"/>
  <c r="P75" i="163"/>
  <c r="L44" i="202"/>
  <c r="P32" i="180" s="1"/>
  <c r="K53" i="202"/>
  <c r="L21" i="195"/>
  <c r="L25" s="1"/>
  <c r="L13" i="197"/>
  <c r="K31"/>
  <c r="L7"/>
  <c r="L6" i="195"/>
  <c r="L13"/>
  <c r="N12" i="191"/>
  <c r="N7" s="1"/>
  <c r="M6"/>
  <c r="L6" i="197"/>
  <c r="L22"/>
  <c r="L26"/>
  <c r="L6" i="196"/>
  <c r="M6" i="192"/>
  <c r="L33" i="161"/>
  <c r="L30" i="162"/>
  <c r="J39" i="163"/>
  <c r="J72"/>
  <c r="N33" i="199"/>
  <c r="K59" i="162"/>
  <c r="K33" i="199"/>
  <c r="M37" i="195"/>
  <c r="M33"/>
  <c r="M29"/>
  <c r="M23"/>
  <c r="M19"/>
  <c r="M18"/>
  <c r="M10"/>
  <c r="M8"/>
  <c r="M11"/>
  <c r="M9"/>
  <c r="M6" s="1"/>
  <c r="M7"/>
  <c r="L59" i="162"/>
  <c r="L21" i="161"/>
  <c r="L25" s="1"/>
  <c r="P33" i="199"/>
  <c r="M72" i="163"/>
  <c r="J48" i="162"/>
  <c r="J51" s="1"/>
  <c r="J33" i="199"/>
  <c r="K48" i="162"/>
  <c r="K51" s="1"/>
  <c r="K165" i="199"/>
  <c r="K27" i="161"/>
  <c r="O50" i="199"/>
  <c r="P55" i="180"/>
  <c r="L39" i="163"/>
  <c r="L72"/>
  <c r="M33" i="199"/>
  <c r="L39" i="197"/>
  <c r="L7" i="195"/>
  <c r="J84" i="199"/>
  <c r="J85" s="1"/>
  <c r="J86" s="1"/>
  <c r="J30" i="162"/>
  <c r="M47" i="197"/>
  <c r="M46"/>
  <c r="M46" i="203" s="1"/>
  <c r="M45" i="197"/>
  <c r="M45" i="203" s="1"/>
  <c r="M44" i="197"/>
  <c r="M44" i="203" s="1"/>
  <c r="M43" i="197"/>
  <c r="M38"/>
  <c r="M37"/>
  <c r="M36"/>
  <c r="M36" i="203" s="1"/>
  <c r="M35" i="197"/>
  <c r="M35" i="203" s="1"/>
  <c r="M30" i="197"/>
  <c r="M29"/>
  <c r="M28"/>
  <c r="M27"/>
  <c r="M25"/>
  <c r="M24"/>
  <c r="M24" i="203" s="1"/>
  <c r="M23" i="197"/>
  <c r="M23" i="203" s="1"/>
  <c r="M21" i="197"/>
  <c r="M20"/>
  <c r="M20" i="203" s="1"/>
  <c r="M10" i="197"/>
  <c r="M7" s="1"/>
  <c r="M8"/>
  <c r="M9" s="1"/>
  <c r="M6" s="1"/>
  <c r="M11"/>
  <c r="J165" i="199"/>
  <c r="J27" i="161"/>
  <c r="J50" i="199"/>
  <c r="N166"/>
  <c r="N28" i="161"/>
  <c r="N21"/>
  <c r="N25" s="1"/>
  <c r="K166" i="199"/>
  <c r="K28" i="161"/>
  <c r="K21"/>
  <c r="K25" s="1"/>
  <c r="AY51" i="180" s="1"/>
  <c r="O33" i="199"/>
  <c r="L166"/>
  <c r="L28" i="161"/>
  <c r="L33" i="199"/>
  <c r="M165"/>
  <c r="M27" i="161"/>
  <c r="M50" i="199"/>
  <c r="Q33"/>
  <c r="J59" i="162"/>
  <c r="J166" i="199"/>
  <c r="J28" i="161"/>
  <c r="J21"/>
  <c r="J25" s="1"/>
  <c r="AX51" i="180" s="1"/>
  <c r="N13"/>
  <c r="N15" s="1"/>
  <c r="N165" i="199"/>
  <c r="N27" i="161"/>
  <c r="N50" i="199"/>
  <c r="O55" i="180"/>
  <c r="K39" i="163"/>
  <c r="K72"/>
  <c r="K76" s="1"/>
  <c r="K50" i="199"/>
  <c r="M72" i="196"/>
  <c r="M8"/>
  <c r="M9" s="1"/>
  <c r="M6" s="1"/>
  <c r="M11"/>
  <c r="M73"/>
  <c r="M10"/>
  <c r="L48" i="162"/>
  <c r="L51" s="1"/>
  <c r="L165" i="199"/>
  <c r="L27" i="161"/>
  <c r="L50" i="199"/>
  <c r="L39" i="162" s="1"/>
  <c r="P50" i="199"/>
  <c r="M166"/>
  <c r="M28" i="161"/>
  <c r="M21"/>
  <c r="M25" s="1"/>
  <c r="Q50" i="199"/>
  <c r="Q52" s="1"/>
  <c r="J70"/>
  <c r="L13" i="196"/>
  <c r="M7" i="192"/>
  <c r="N6" i="190"/>
  <c r="N13"/>
  <c r="N11"/>
  <c r="N7"/>
  <c r="N8"/>
  <c r="N9"/>
  <c r="N10"/>
  <c r="O12"/>
  <c r="N10" i="191"/>
  <c r="N10" i="192"/>
  <c r="N13"/>
  <c r="N11"/>
  <c r="N7"/>
  <c r="N8"/>
  <c r="N9"/>
  <c r="O12" s="1"/>
  <c r="N6"/>
  <c r="Q23" i="163"/>
  <c r="Q39"/>
  <c r="P39"/>
  <c r="Q20"/>
  <c r="Q28" i="161"/>
  <c r="Q73" i="163"/>
  <c r="P21" i="161"/>
  <c r="P25" s="1"/>
  <c r="Q27"/>
  <c r="P28"/>
  <c r="P27"/>
  <c r="Q19"/>
  <c r="Q18"/>
  <c r="O72" i="163"/>
  <c r="J68" i="196" l="1"/>
  <c r="J69" s="1"/>
  <c r="L167" i="199"/>
  <c r="L168" s="1"/>
  <c r="L170" s="1"/>
  <c r="L174" s="1"/>
  <c r="L29" i="162"/>
  <c r="Q35" i="199"/>
  <c r="K30" i="162"/>
  <c r="M35" i="199"/>
  <c r="Q29"/>
  <c r="P35"/>
  <c r="N35"/>
  <c r="K64" i="196"/>
  <c r="K66" s="1"/>
  <c r="K68" s="1"/>
  <c r="K69" s="1"/>
  <c r="P29" i="199"/>
  <c r="O35"/>
  <c r="M52"/>
  <c r="P46"/>
  <c r="P48" s="1"/>
  <c r="O52"/>
  <c r="Q46"/>
  <c r="Q48" s="1"/>
  <c r="P52"/>
  <c r="N52"/>
  <c r="L27" i="203"/>
  <c r="L97" i="163"/>
  <c r="L95"/>
  <c r="M62" i="196"/>
  <c r="M64" s="1"/>
  <c r="M66" s="1"/>
  <c r="M18" i="201"/>
  <c r="Q11" i="180" s="1"/>
  <c r="BA13"/>
  <c r="BA45" s="1"/>
  <c r="M23" i="201"/>
  <c r="Q14" i="180" s="1"/>
  <c r="BA27"/>
  <c r="BA47" s="1"/>
  <c r="L21" i="201"/>
  <c r="P11" i="180"/>
  <c r="Q53"/>
  <c r="Q58"/>
  <c r="M19" i="201"/>
  <c r="Q12" i="180" s="1"/>
  <c r="BA20"/>
  <c r="BA46" s="1"/>
  <c r="L31" i="195"/>
  <c r="L35" s="1"/>
  <c r="L39" s="1"/>
  <c r="AZ51" i="180"/>
  <c r="N194" i="199"/>
  <c r="N195" s="1"/>
  <c r="N46"/>
  <c r="N48" s="1"/>
  <c r="N29"/>
  <c r="N31" s="1"/>
  <c r="N200"/>
  <c r="N201" s="1"/>
  <c r="N188"/>
  <c r="N189" s="1"/>
  <c r="N29" i="163" s="1"/>
  <c r="N212" i="199"/>
  <c r="N213" s="1"/>
  <c r="N48" i="163" s="1"/>
  <c r="M23" i="162"/>
  <c r="M23" i="202" s="1"/>
  <c r="L64" i="163"/>
  <c r="N8" i="191"/>
  <c r="N9" s="1"/>
  <c r="O12" s="1"/>
  <c r="N11"/>
  <c r="N13" s="1"/>
  <c r="N6"/>
  <c r="L29" i="161"/>
  <c r="L29" i="201" s="1"/>
  <c r="P16" i="180" s="1"/>
  <c r="L76" i="163"/>
  <c r="L53" i="196"/>
  <c r="L25" i="201"/>
  <c r="M33" i="196"/>
  <c r="M44"/>
  <c r="M25"/>
  <c r="M35" s="1"/>
  <c r="M51"/>
  <c r="L35"/>
  <c r="M43" i="203"/>
  <c r="Q57" i="180" s="1"/>
  <c r="M49" i="197"/>
  <c r="N72" i="191"/>
  <c r="N71"/>
  <c r="J70" i="196"/>
  <c r="J76" i="163"/>
  <c r="L53" i="202"/>
  <c r="K51" i="197"/>
  <c r="K94" i="163"/>
  <c r="L33" i="201"/>
  <c r="P18" i="180" s="1"/>
  <c r="L94" i="163"/>
  <c r="J94"/>
  <c r="M13" i="196"/>
  <c r="M13" i="197"/>
  <c r="L31"/>
  <c r="L33" i="162"/>
  <c r="M13" i="195"/>
  <c r="N12" i="196"/>
  <c r="N10" s="1"/>
  <c r="M7"/>
  <c r="N12" i="197"/>
  <c r="N48" s="1"/>
  <c r="M22"/>
  <c r="M26"/>
  <c r="N12" i="195"/>
  <c r="N33" s="1"/>
  <c r="M21"/>
  <c r="M25" s="1"/>
  <c r="Q58" i="199"/>
  <c r="K113"/>
  <c r="K167"/>
  <c r="K168" s="1"/>
  <c r="K170" s="1"/>
  <c r="K174" s="1"/>
  <c r="K33" i="161"/>
  <c r="K70" i="199"/>
  <c r="J72"/>
  <c r="J73" s="1"/>
  <c r="J74" s="1"/>
  <c r="J29" i="162"/>
  <c r="J33" s="1"/>
  <c r="P58" i="199"/>
  <c r="L48"/>
  <c r="L58"/>
  <c r="K58"/>
  <c r="K48"/>
  <c r="K39" i="162"/>
  <c r="Q41" i="199"/>
  <c r="M58"/>
  <c r="L31"/>
  <c r="L41"/>
  <c r="L23" i="162"/>
  <c r="O41" i="199"/>
  <c r="J48"/>
  <c r="J58"/>
  <c r="J39" i="162"/>
  <c r="J113" i="199"/>
  <c r="J114" s="1"/>
  <c r="J167"/>
  <c r="J168" s="1"/>
  <c r="J170" s="1"/>
  <c r="J174" s="1"/>
  <c r="J33" i="161"/>
  <c r="M41" i="199"/>
  <c r="O58"/>
  <c r="J41"/>
  <c r="J31"/>
  <c r="J23" i="162"/>
  <c r="K31" i="199"/>
  <c r="K41"/>
  <c r="K23" i="162"/>
  <c r="N41" i="199"/>
  <c r="N29" i="161"/>
  <c r="M39" i="197"/>
  <c r="P13" i="180"/>
  <c r="P15" s="1"/>
  <c r="N11" i="196"/>
  <c r="N58" i="199"/>
  <c r="N43" i="197"/>
  <c r="N27"/>
  <c r="N21"/>
  <c r="N11"/>
  <c r="N13" s="1"/>
  <c r="P31" i="199"/>
  <c r="P41"/>
  <c r="N37" i="195"/>
  <c r="N29"/>
  <c r="N19"/>
  <c r="N11"/>
  <c r="N10"/>
  <c r="N13" s="1"/>
  <c r="M74" i="196"/>
  <c r="M29" i="161"/>
  <c r="O13" i="180"/>
  <c r="O15" s="1"/>
  <c r="J29" i="161"/>
  <c r="K29"/>
  <c r="K31" s="1"/>
  <c r="O8" i="192"/>
  <c r="O13"/>
  <c r="O11"/>
  <c r="O7"/>
  <c r="O10"/>
  <c r="O6"/>
  <c r="O9"/>
  <c r="P12"/>
  <c r="O8" i="190"/>
  <c r="O13"/>
  <c r="O11"/>
  <c r="O7"/>
  <c r="O10"/>
  <c r="O6"/>
  <c r="O9"/>
  <c r="P12"/>
  <c r="Q29" i="161"/>
  <c r="P29"/>
  <c r="Q21"/>
  <c r="Q25" s="1"/>
  <c r="L60" i="163"/>
  <c r="P72"/>
  <c r="P76" s="1"/>
  <c r="P94"/>
  <c r="N6" i="195" l="1"/>
  <c r="N8"/>
  <c r="N9" s="1"/>
  <c r="O12" s="1"/>
  <c r="N18"/>
  <c r="BB13" i="180" s="1"/>
  <c r="BB45" s="1"/>
  <c r="N23" i="195"/>
  <c r="M62" i="202"/>
  <c r="N8" i="197"/>
  <c r="N9" s="1"/>
  <c r="O12" s="1"/>
  <c r="O48" s="1"/>
  <c r="N10"/>
  <c r="N24"/>
  <c r="N24" i="203" s="1"/>
  <c r="N35" i="197"/>
  <c r="N35" i="203" s="1"/>
  <c r="N47" i="197"/>
  <c r="N8" i="196"/>
  <c r="N9" s="1"/>
  <c r="O12" s="1"/>
  <c r="O60" s="1"/>
  <c r="N6"/>
  <c r="N7" i="197"/>
  <c r="N6"/>
  <c r="N20"/>
  <c r="N20" i="203" s="1"/>
  <c r="N23" i="197"/>
  <c r="N23" i="203" s="1"/>
  <c r="N25" i="197"/>
  <c r="N29"/>
  <c r="N29" i="203" s="1"/>
  <c r="N37" i="197"/>
  <c r="N37" i="203" s="1"/>
  <c r="N45" i="197"/>
  <c r="N45" i="203" s="1"/>
  <c r="N7" i="196"/>
  <c r="N13"/>
  <c r="L61"/>
  <c r="L62" s="1"/>
  <c r="L62" i="202" s="1"/>
  <c r="N28" i="197"/>
  <c r="N30"/>
  <c r="N30" i="203" s="1"/>
  <c r="N36" i="197"/>
  <c r="N36" i="203" s="1"/>
  <c r="N38" i="197"/>
  <c r="N44"/>
  <c r="N44" i="203" s="1"/>
  <c r="N46" i="197"/>
  <c r="N46" i="203" s="1"/>
  <c r="M21" i="201"/>
  <c r="M25" s="1"/>
  <c r="N48" i="203"/>
  <c r="R60" i="180" s="1"/>
  <c r="O71" i="191"/>
  <c r="O8"/>
  <c r="O11"/>
  <c r="O10"/>
  <c r="O9"/>
  <c r="O72"/>
  <c r="O13"/>
  <c r="O7"/>
  <c r="O6"/>
  <c r="P12"/>
  <c r="P72" s="1"/>
  <c r="N7" i="195"/>
  <c r="P17" i="180"/>
  <c r="P19" s="1"/>
  <c r="N23" i="201"/>
  <c r="R14" i="180" s="1"/>
  <c r="BB27"/>
  <c r="BB47" s="1"/>
  <c r="M31" i="195"/>
  <c r="M35" s="1"/>
  <c r="M39" s="1"/>
  <c r="BA51" i="180"/>
  <c r="Q13"/>
  <c r="Q15" s="1"/>
  <c r="N19" i="201"/>
  <c r="R12" i="180" s="1"/>
  <c r="BB20"/>
  <c r="BB46" s="1"/>
  <c r="K61" i="163"/>
  <c r="N100"/>
  <c r="N85"/>
  <c r="N73" i="191"/>
  <c r="L55" i="196"/>
  <c r="L31" i="201"/>
  <c r="L35" s="1"/>
  <c r="M53" i="196"/>
  <c r="M55" s="1"/>
  <c r="N18" i="201"/>
  <c r="N43" i="203"/>
  <c r="O50" i="196"/>
  <c r="O42"/>
  <c r="O32"/>
  <c r="O24"/>
  <c r="O63"/>
  <c r="O63" i="202" s="1"/>
  <c r="O59" i="196"/>
  <c r="O43"/>
  <c r="O39"/>
  <c r="O29"/>
  <c r="O20"/>
  <c r="N63"/>
  <c r="N61"/>
  <c r="N59"/>
  <c r="I83" i="193" s="1"/>
  <c r="M121" i="199" s="1"/>
  <c r="M83" i="193" s="1"/>
  <c r="N49" i="196"/>
  <c r="N49" i="202" s="1"/>
  <c r="N43" i="196"/>
  <c r="N41"/>
  <c r="I73" i="193" s="1"/>
  <c r="M112" i="199" s="1"/>
  <c r="N39" i="196"/>
  <c r="I38" i="193" s="1"/>
  <c r="N31" i="196"/>
  <c r="N31" i="202" s="1"/>
  <c r="N29" i="196"/>
  <c r="I49" i="193" s="1"/>
  <c r="M66" i="199" s="1"/>
  <c r="M70" s="1"/>
  <c r="N66" s="1"/>
  <c r="N70" s="1"/>
  <c r="N72" s="1"/>
  <c r="N73" s="1"/>
  <c r="N74" s="1"/>
  <c r="N23" i="196"/>
  <c r="I33" i="193" s="1"/>
  <c r="N20" i="196"/>
  <c r="N60"/>
  <c r="N50"/>
  <c r="N48"/>
  <c r="I64" i="193" s="1"/>
  <c r="M95" i="199" s="1"/>
  <c r="M64" i="193" s="1"/>
  <c r="N42" i="196"/>
  <c r="I90" i="193" s="1"/>
  <c r="M128" i="199" s="1"/>
  <c r="N40" i="196"/>
  <c r="I110" i="193" s="1"/>
  <c r="M178" i="199" s="1"/>
  <c r="N32" i="196"/>
  <c r="N30"/>
  <c r="I54" i="193" s="1"/>
  <c r="M78" i="199" s="1"/>
  <c r="M82" s="1"/>
  <c r="N78" s="1"/>
  <c r="N82" s="1"/>
  <c r="N30" i="162" s="1"/>
  <c r="N30" i="202" s="1"/>
  <c r="N24" i="196"/>
  <c r="N22"/>
  <c r="K70"/>
  <c r="N66" i="163"/>
  <c r="N67"/>
  <c r="L51" i="197"/>
  <c r="K29" i="201"/>
  <c r="J31" i="161"/>
  <c r="J35" s="1"/>
  <c r="J29" i="201"/>
  <c r="M29"/>
  <c r="N29"/>
  <c r="J33"/>
  <c r="N18" i="180" s="1"/>
  <c r="K33" i="201"/>
  <c r="O18" i="180" s="1"/>
  <c r="M31" i="197"/>
  <c r="M51" s="1"/>
  <c r="K35" i="161"/>
  <c r="N74" i="163"/>
  <c r="P57" i="199"/>
  <c r="P49"/>
  <c r="P55" s="1"/>
  <c r="P56" s="1"/>
  <c r="Q57"/>
  <c r="Q49"/>
  <c r="Q55" s="1"/>
  <c r="Q56" s="1"/>
  <c r="N40"/>
  <c r="N32"/>
  <c r="P40"/>
  <c r="P32"/>
  <c r="P38" s="1"/>
  <c r="P39" s="1"/>
  <c r="K40"/>
  <c r="K32"/>
  <c r="J60" i="163"/>
  <c r="J115" i="199"/>
  <c r="J41" i="162" s="1"/>
  <c r="J27" i="163"/>
  <c r="J27" i="203" s="1"/>
  <c r="L40" i="199"/>
  <c r="L32"/>
  <c r="L57"/>
  <c r="L49"/>
  <c r="K72"/>
  <c r="K73" s="1"/>
  <c r="K74" s="1"/>
  <c r="K29" i="162"/>
  <c r="K33" s="1"/>
  <c r="K179" i="199"/>
  <c r="L180" s="1"/>
  <c r="K37" i="161"/>
  <c r="N39" i="197"/>
  <c r="Q31" i="199"/>
  <c r="J61" i="163"/>
  <c r="O37" i="195"/>
  <c r="O33"/>
  <c r="O29"/>
  <c r="O29" i="201" s="1"/>
  <c r="S16" i="180" s="1"/>
  <c r="O23" i="195"/>
  <c r="O19"/>
  <c r="O18"/>
  <c r="O8"/>
  <c r="O13"/>
  <c r="O11"/>
  <c r="O7"/>
  <c r="O10"/>
  <c r="O6"/>
  <c r="O9"/>
  <c r="P12"/>
  <c r="O46" i="197"/>
  <c r="O46" i="203" s="1"/>
  <c r="O44" i="197"/>
  <c r="O44" i="203" s="1"/>
  <c r="O38" i="197"/>
  <c r="O36"/>
  <c r="O36" i="203" s="1"/>
  <c r="O30" i="197"/>
  <c r="O28"/>
  <c r="O25"/>
  <c r="O23"/>
  <c r="O23" i="203" s="1"/>
  <c r="O20" i="197"/>
  <c r="O20" i="203" s="1"/>
  <c r="O6" i="197"/>
  <c r="O8"/>
  <c r="O11"/>
  <c r="P12"/>
  <c r="P48" s="1"/>
  <c r="P48" i="203" s="1"/>
  <c r="N57" i="199"/>
  <c r="N49"/>
  <c r="O72" i="196"/>
  <c r="O6"/>
  <c r="O73"/>
  <c r="O13"/>
  <c r="O7"/>
  <c r="L179" i="199"/>
  <c r="L37" i="161"/>
  <c r="J40" i="199"/>
  <c r="J32"/>
  <c r="J179"/>
  <c r="K180" s="1"/>
  <c r="J37" i="161"/>
  <c r="J57" i="199"/>
  <c r="J49"/>
  <c r="K57"/>
  <c r="K49"/>
  <c r="K60" i="163"/>
  <c r="K114" i="199"/>
  <c r="K27" i="163" s="1"/>
  <c r="K27" i="203" s="1"/>
  <c r="Q12" i="190"/>
  <c r="P9"/>
  <c r="P10"/>
  <c r="P6"/>
  <c r="P13"/>
  <c r="P11"/>
  <c r="P7"/>
  <c r="P8"/>
  <c r="Q12" i="191"/>
  <c r="P10"/>
  <c r="P13"/>
  <c r="P7"/>
  <c r="Q12" i="192"/>
  <c r="P9"/>
  <c r="P10"/>
  <c r="P6"/>
  <c r="P13"/>
  <c r="P11"/>
  <c r="P7"/>
  <c r="P8"/>
  <c r="Q72" i="163"/>
  <c r="Q76" s="1"/>
  <c r="Q94"/>
  <c r="M39" i="162"/>
  <c r="M39" i="202" s="1"/>
  <c r="N23" i="162"/>
  <c r="N23" i="202" s="1"/>
  <c r="L61" i="163"/>
  <c r="L31" i="161"/>
  <c r="L35" s="1"/>
  <c r="R53" i="180" l="1"/>
  <c r="P8" i="191"/>
  <c r="P11"/>
  <c r="P6"/>
  <c r="P9"/>
  <c r="P12" i="196"/>
  <c r="P63" s="1"/>
  <c r="P63" i="202" s="1"/>
  <c r="O11" i="196"/>
  <c r="O8"/>
  <c r="O9"/>
  <c r="O10"/>
  <c r="N22" i="197"/>
  <c r="O62" i="196"/>
  <c r="O23"/>
  <c r="O31"/>
  <c r="O33" s="1"/>
  <c r="O41"/>
  <c r="O49"/>
  <c r="O51" s="1"/>
  <c r="O61"/>
  <c r="O22"/>
  <c r="O30"/>
  <c r="O40"/>
  <c r="O48"/>
  <c r="N49" i="197"/>
  <c r="N21" i="195"/>
  <c r="N25" s="1"/>
  <c r="P71" i="191"/>
  <c r="P73" s="1"/>
  <c r="O7" i="197"/>
  <c r="O13"/>
  <c r="O9"/>
  <c r="O10"/>
  <c r="O21"/>
  <c r="O24"/>
  <c r="O24" i="203" s="1"/>
  <c r="O27" i="197"/>
  <c r="O29"/>
  <c r="O35"/>
  <c r="O35" i="203" s="1"/>
  <c r="S53" i="180" s="1"/>
  <c r="O37" i="197"/>
  <c r="O43"/>
  <c r="O45"/>
  <c r="O45" i="203" s="1"/>
  <c r="O47" i="197"/>
  <c r="R57" i="180"/>
  <c r="O73" i="191"/>
  <c r="R58" i="180"/>
  <c r="N26" i="197"/>
  <c r="P25" i="163"/>
  <c r="P26" s="1"/>
  <c r="N84" i="199"/>
  <c r="N85" s="1"/>
  <c r="N86" s="1"/>
  <c r="M72"/>
  <c r="M73" s="1"/>
  <c r="M74" s="1"/>
  <c r="M29" i="162"/>
  <c r="M29" i="202" s="1"/>
  <c r="M124" i="199"/>
  <c r="M86" i="193" s="1"/>
  <c r="L64" i="196"/>
  <c r="L66" s="1"/>
  <c r="O64"/>
  <c r="O66" s="1"/>
  <c r="L68"/>
  <c r="M30" i="162"/>
  <c r="M30" i="202" s="1"/>
  <c r="O29" i="199"/>
  <c r="O31" s="1"/>
  <c r="M29"/>
  <c r="M31" s="1"/>
  <c r="O46"/>
  <c r="O48" s="1"/>
  <c r="M46"/>
  <c r="M48" s="1"/>
  <c r="N24" i="202"/>
  <c r="I135" i="193"/>
  <c r="N32" i="202"/>
  <c r="I136" i="193"/>
  <c r="N50" i="202"/>
  <c r="I138" i="193"/>
  <c r="M206" i="199" s="1"/>
  <c r="M207" s="1"/>
  <c r="M38" i="163" s="1"/>
  <c r="M38" i="203" s="1"/>
  <c r="N43" i="202"/>
  <c r="I137" i="193"/>
  <c r="N63" i="202"/>
  <c r="N73" i="196"/>
  <c r="M84" i="199"/>
  <c r="M85" s="1"/>
  <c r="M86" s="1"/>
  <c r="O78"/>
  <c r="O82" s="1"/>
  <c r="O84" s="1"/>
  <c r="O85" s="1"/>
  <c r="O86" s="1"/>
  <c r="I127" i="193"/>
  <c r="N72" i="196"/>
  <c r="N74" s="1"/>
  <c r="N60" i="202"/>
  <c r="R39" i="180" s="1"/>
  <c r="I139" i="193"/>
  <c r="O19" i="201"/>
  <c r="S12" i="180" s="1"/>
  <c r="BC20"/>
  <c r="BC46" s="1"/>
  <c r="R16"/>
  <c r="N21" i="201"/>
  <c r="N25" s="1"/>
  <c r="N31" s="1"/>
  <c r="R11" i="180"/>
  <c r="R13" s="1"/>
  <c r="R15" s="1"/>
  <c r="R17" s="1"/>
  <c r="S58"/>
  <c r="O18" i="201"/>
  <c r="S11" i="180" s="1"/>
  <c r="BC13"/>
  <c r="BC45" s="1"/>
  <c r="O23" i="201"/>
  <c r="S14" i="180" s="1"/>
  <c r="BC27"/>
  <c r="BC47" s="1"/>
  <c r="M31" i="201"/>
  <c r="Q16" i="180"/>
  <c r="Q17" s="1"/>
  <c r="J31" i="201"/>
  <c r="J35" s="1"/>
  <c r="N16" i="180"/>
  <c r="N17" s="1"/>
  <c r="N19" s="1"/>
  <c r="K31" i="201"/>
  <c r="K35" s="1"/>
  <c r="O16" i="180"/>
  <c r="O17" s="1"/>
  <c r="O19" s="1"/>
  <c r="N31" i="195"/>
  <c r="N35" s="1"/>
  <c r="N39" s="1"/>
  <c r="BB51" i="180"/>
  <c r="N21" i="196"/>
  <c r="O21"/>
  <c r="O44"/>
  <c r="M180" i="199"/>
  <c r="M28" i="163" s="1"/>
  <c r="M28" i="203" s="1"/>
  <c r="Q72" i="191"/>
  <c r="Q71"/>
  <c r="P61" i="196"/>
  <c r="P49"/>
  <c r="P41"/>
  <c r="P31"/>
  <c r="P23"/>
  <c r="P60"/>
  <c r="P48"/>
  <c r="P40"/>
  <c r="P30"/>
  <c r="P22"/>
  <c r="N62"/>
  <c r="N62" i="202" s="1"/>
  <c r="N25" i="196"/>
  <c r="N51"/>
  <c r="O25"/>
  <c r="O43" i="203"/>
  <c r="S57" i="180" s="1"/>
  <c r="N33" i="196"/>
  <c r="N44"/>
  <c r="M68"/>
  <c r="M69" s="1"/>
  <c r="O62" i="202"/>
  <c r="J39" i="161"/>
  <c r="J58" i="163" s="1"/>
  <c r="J37" i="201"/>
  <c r="N20" i="180" s="1"/>
  <c r="L37" i="201"/>
  <c r="K37"/>
  <c r="O20" i="180" s="1"/>
  <c r="N31" i="197"/>
  <c r="M98" i="199"/>
  <c r="M67" i="193" s="1"/>
  <c r="K115" i="199"/>
  <c r="K41" i="162" s="1"/>
  <c r="O66" i="199"/>
  <c r="O70" s="1"/>
  <c r="P66" s="1"/>
  <c r="P70" s="1"/>
  <c r="N29" i="162"/>
  <c r="P42" i="199"/>
  <c r="Q59"/>
  <c r="P59"/>
  <c r="K97" i="163"/>
  <c r="K95"/>
  <c r="K64"/>
  <c r="K28"/>
  <c r="K28" i="203" s="1"/>
  <c r="J181" i="199"/>
  <c r="J40" i="162" s="1"/>
  <c r="J38" i="199"/>
  <c r="J39" s="1"/>
  <c r="J42" s="1"/>
  <c r="J21" i="163"/>
  <c r="J21" i="203" s="1"/>
  <c r="J22" s="1"/>
  <c r="N48" i="180" s="1"/>
  <c r="P9" i="196"/>
  <c r="P73"/>
  <c r="P11"/>
  <c r="P8"/>
  <c r="Q12"/>
  <c r="N55" i="199"/>
  <c r="N56" s="1"/>
  <c r="N59" s="1"/>
  <c r="N25" i="163"/>
  <c r="P47" i="197"/>
  <c r="P46"/>
  <c r="P46" i="203" s="1"/>
  <c r="P45" i="197"/>
  <c r="P45" i="203" s="1"/>
  <c r="P44" i="197"/>
  <c r="P44" i="203" s="1"/>
  <c r="P43" i="197"/>
  <c r="P38"/>
  <c r="P38" i="203" s="1"/>
  <c r="P37" i="197"/>
  <c r="P37" i="203" s="1"/>
  <c r="P36" i="197"/>
  <c r="P36" i="203" s="1"/>
  <c r="P35" i="197"/>
  <c r="P35" i="203" s="1"/>
  <c r="P30" i="197"/>
  <c r="P30" i="203" s="1"/>
  <c r="P29" i="197"/>
  <c r="P29" i="203" s="1"/>
  <c r="P28" i="197"/>
  <c r="P27"/>
  <c r="P25"/>
  <c r="P25" i="203" s="1"/>
  <c r="P24" i="197"/>
  <c r="P24" i="203" s="1"/>
  <c r="P23" i="197"/>
  <c r="P23" i="203" s="1"/>
  <c r="P21" i="197"/>
  <c r="P20"/>
  <c r="P20" i="203" s="1"/>
  <c r="P9" i="197"/>
  <c r="P10"/>
  <c r="P6"/>
  <c r="P13"/>
  <c r="P11"/>
  <c r="P7"/>
  <c r="P8"/>
  <c r="Q12"/>
  <c r="Q48" s="1"/>
  <c r="Q48" i="203" s="1"/>
  <c r="P37" i="195"/>
  <c r="P33"/>
  <c r="P29"/>
  <c r="P29" i="201" s="1"/>
  <c r="P23" i="195"/>
  <c r="P19"/>
  <c r="P18"/>
  <c r="P13"/>
  <c r="P11"/>
  <c r="P7"/>
  <c r="P8"/>
  <c r="P9"/>
  <c r="P10"/>
  <c r="P6"/>
  <c r="Q12"/>
  <c r="Q40" i="199"/>
  <c r="Q32"/>
  <c r="Q38" s="1"/>
  <c r="Q39" s="1"/>
  <c r="L28" i="163"/>
  <c r="L28" i="203" s="1"/>
  <c r="K181" i="199"/>
  <c r="O74" i="196"/>
  <c r="O22" i="197"/>
  <c r="O21" i="195"/>
  <c r="O25" s="1"/>
  <c r="L115" i="199"/>
  <c r="K55"/>
  <c r="K56" s="1"/>
  <c r="K59" s="1"/>
  <c r="K25" i="163"/>
  <c r="K25" i="203" s="1"/>
  <c r="K26" s="1"/>
  <c r="O49" i="180" s="1"/>
  <c r="J55" i="199"/>
  <c r="J56" s="1"/>
  <c r="J59" s="1"/>
  <c r="J25" i="163"/>
  <c r="J25" i="203" s="1"/>
  <c r="J26" s="1"/>
  <c r="N49" i="180" s="1"/>
  <c r="J59" i="163"/>
  <c r="L55" i="199"/>
  <c r="L56" s="1"/>
  <c r="L59" s="1"/>
  <c r="L25" i="163"/>
  <c r="L38" i="199"/>
  <c r="L39" s="1"/>
  <c r="L42" s="1"/>
  <c r="L21" i="163"/>
  <c r="J95"/>
  <c r="J64"/>
  <c r="J97"/>
  <c r="K21"/>
  <c r="K21" i="203" s="1"/>
  <c r="K22" s="1"/>
  <c r="K38" i="199"/>
  <c r="K39" s="1"/>
  <c r="K42" s="1"/>
  <c r="N38"/>
  <c r="N39" s="1"/>
  <c r="N42" s="1"/>
  <c r="N21" i="163"/>
  <c r="J154" i="199"/>
  <c r="Q10" i="192"/>
  <c r="Q6"/>
  <c r="Q9"/>
  <c r="Q8"/>
  <c r="Q13"/>
  <c r="Q11"/>
  <c r="Q7"/>
  <c r="Q10" i="191"/>
  <c r="Q6"/>
  <c r="Q7"/>
  <c r="Q8"/>
  <c r="Q13"/>
  <c r="Q9"/>
  <c r="Q11"/>
  <c r="Q8" i="190"/>
  <c r="Q9"/>
  <c r="Q10"/>
  <c r="Q6"/>
  <c r="Q11"/>
  <c r="Q7"/>
  <c r="Q13"/>
  <c r="Q25" i="163"/>
  <c r="P21"/>
  <c r="M31" i="161"/>
  <c r="K59" i="163"/>
  <c r="K39" i="161"/>
  <c r="M61" i="163"/>
  <c r="O26" i="197" l="1"/>
  <c r="P6" i="196"/>
  <c r="P7"/>
  <c r="P13"/>
  <c r="P10"/>
  <c r="P72"/>
  <c r="P24"/>
  <c r="P32"/>
  <c r="P42"/>
  <c r="P50"/>
  <c r="P20"/>
  <c r="P29"/>
  <c r="P39"/>
  <c r="P43"/>
  <c r="P59"/>
  <c r="O49" i="197"/>
  <c r="O39"/>
  <c r="O53" i="196"/>
  <c r="Q21" i="163"/>
  <c r="Q22" s="1"/>
  <c r="M33" i="202"/>
  <c r="Q29" i="180" s="1"/>
  <c r="O21"/>
  <c r="J41" i="161"/>
  <c r="M33" i="162"/>
  <c r="N21" i="180"/>
  <c r="M75" i="163"/>
  <c r="N121" i="199"/>
  <c r="N83" i="193" s="1"/>
  <c r="M59" i="162"/>
  <c r="M59" i="202" s="1"/>
  <c r="Q38" i="180" s="1"/>
  <c r="M109" i="199"/>
  <c r="M110" s="1"/>
  <c r="M113" s="1"/>
  <c r="M114" s="1"/>
  <c r="J147"/>
  <c r="J148" s="1"/>
  <c r="O21" i="201"/>
  <c r="O25" s="1"/>
  <c r="O31" s="1"/>
  <c r="J62" i="162"/>
  <c r="J64" i="202" s="1"/>
  <c r="O35" i="196"/>
  <c r="L69"/>
  <c r="L70" s="1"/>
  <c r="P78" i="199"/>
  <c r="P82" s="1"/>
  <c r="Q78" s="1"/>
  <c r="Q82" s="1"/>
  <c r="Q30" i="162" s="1"/>
  <c r="Q30" i="202" s="1"/>
  <c r="N64" i="196"/>
  <c r="O30" i="162"/>
  <c r="O30" i="202" s="1"/>
  <c r="O200" i="199"/>
  <c r="O201" s="1"/>
  <c r="O37" i="203" s="1"/>
  <c r="M200" i="199"/>
  <c r="M201" s="1"/>
  <c r="O194"/>
  <c r="O195" s="1"/>
  <c r="O67" i="163" s="1"/>
  <c r="M194" i="199"/>
  <c r="M195" s="1"/>
  <c r="M37" i="163" s="1"/>
  <c r="O188" i="199"/>
  <c r="O189" s="1"/>
  <c r="O29" i="163" s="1"/>
  <c r="O66" s="1"/>
  <c r="M188" i="199"/>
  <c r="M189" s="1"/>
  <c r="M29" i="163" s="1"/>
  <c r="O49" i="199"/>
  <c r="O57"/>
  <c r="O32"/>
  <c r="O40"/>
  <c r="S13" i="180"/>
  <c r="S15" s="1"/>
  <c r="S17" s="1"/>
  <c r="O212" i="199"/>
  <c r="O213" s="1"/>
  <c r="O48" i="163" s="1"/>
  <c r="O85" s="1"/>
  <c r="M212" i="199"/>
  <c r="M213" s="1"/>
  <c r="M48" i="163" s="1"/>
  <c r="M49" i="199"/>
  <c r="M57"/>
  <c r="M40"/>
  <c r="M32"/>
  <c r="N53" i="196"/>
  <c r="P25"/>
  <c r="P51"/>
  <c r="O30" i="203"/>
  <c r="N206" i="199"/>
  <c r="N207" s="1"/>
  <c r="N38" i="163" s="1"/>
  <c r="O206" i="199"/>
  <c r="O207" s="1"/>
  <c r="O38" i="163" s="1"/>
  <c r="K31" i="203"/>
  <c r="O51" i="180" s="1"/>
  <c r="O48"/>
  <c r="P18" i="201"/>
  <c r="BD13" i="180"/>
  <c r="BD45" s="1"/>
  <c r="P23" i="201"/>
  <c r="BD27" i="180"/>
  <c r="BD47" s="1"/>
  <c r="L39" i="201"/>
  <c r="P20" i="180"/>
  <c r="P21" s="1"/>
  <c r="N35" i="196"/>
  <c r="Q73" i="191"/>
  <c r="O31" i="195"/>
  <c r="O35" s="1"/>
  <c r="O39" s="1"/>
  <c r="BC51" i="180"/>
  <c r="P19" i="201"/>
  <c r="BD20" i="180"/>
  <c r="BD46" s="1"/>
  <c r="K39" i="201"/>
  <c r="Q60" i="196"/>
  <c r="Q50"/>
  <c r="Q48"/>
  <c r="Q42"/>
  <c r="Q40"/>
  <c r="Q32"/>
  <c r="Q30"/>
  <c r="Q24"/>
  <c r="Q22"/>
  <c r="Q63"/>
  <c r="Q63" i="202" s="1"/>
  <c r="Q61" i="196"/>
  <c r="Q59"/>
  <c r="Q49"/>
  <c r="Q43"/>
  <c r="Q41"/>
  <c r="Q39"/>
  <c r="Q31"/>
  <c r="Q29"/>
  <c r="Q23"/>
  <c r="Q20"/>
  <c r="Q62"/>
  <c r="O55"/>
  <c r="P21"/>
  <c r="P33"/>
  <c r="P44"/>
  <c r="P49" i="197"/>
  <c r="P43" i="203"/>
  <c r="P62" i="196"/>
  <c r="M70"/>
  <c r="J39" i="201"/>
  <c r="P22" i="163"/>
  <c r="P21" i="203"/>
  <c r="Q26" i="163"/>
  <c r="N22"/>
  <c r="N21" i="203"/>
  <c r="N22" s="1"/>
  <c r="R48" i="180" s="1"/>
  <c r="L22" i="163"/>
  <c r="L21" i="203"/>
  <c r="L22" s="1"/>
  <c r="P48" i="180" s="1"/>
  <c r="L26" i="163"/>
  <c r="L25" i="203"/>
  <c r="L26" s="1"/>
  <c r="P49" i="180" s="1"/>
  <c r="N26" i="163"/>
  <c r="N25" i="203"/>
  <c r="N26" s="1"/>
  <c r="R49" i="180" s="1"/>
  <c r="J31" i="203"/>
  <c r="N51" i="180" s="1"/>
  <c r="N51" i="197"/>
  <c r="O29" i="162"/>
  <c r="K147" i="199"/>
  <c r="K154" s="1"/>
  <c r="P84"/>
  <c r="P85" s="1"/>
  <c r="P86" s="1"/>
  <c r="N33" i="162"/>
  <c r="N29" i="202"/>
  <c r="N33" s="1"/>
  <c r="R29" i="180" s="1"/>
  <c r="Q66" i="199"/>
  <c r="Q70" s="1"/>
  <c r="Q72" s="1"/>
  <c r="Q73" s="1"/>
  <c r="Q74" s="1"/>
  <c r="P29" i="162"/>
  <c r="N95" i="199"/>
  <c r="N64" i="193" s="1"/>
  <c r="M48" i="162"/>
  <c r="O72" i="199"/>
  <c r="O73" s="1"/>
  <c r="O74" s="1"/>
  <c r="L181"/>
  <c r="Q42"/>
  <c r="P21" i="195"/>
  <c r="P25" s="1"/>
  <c r="P22" i="197"/>
  <c r="P26"/>
  <c r="P26" i="203" s="1"/>
  <c r="L41" i="162"/>
  <c r="K22" i="163"/>
  <c r="K62"/>
  <c r="J26"/>
  <c r="J63"/>
  <c r="K26"/>
  <c r="K63"/>
  <c r="O31" i="197"/>
  <c r="P39"/>
  <c r="Q37" i="195"/>
  <c r="Q33"/>
  <c r="Q29"/>
  <c r="Q29" i="201" s="1"/>
  <c r="Q23" i="195"/>
  <c r="Q19"/>
  <c r="Q18"/>
  <c r="Q8"/>
  <c r="Q9"/>
  <c r="Q10"/>
  <c r="Q6"/>
  <c r="Q11"/>
  <c r="Q7"/>
  <c r="Q13"/>
  <c r="P72" i="199"/>
  <c r="P73" s="1"/>
  <c r="P74" s="1"/>
  <c r="Q47" i="197"/>
  <c r="Q46"/>
  <c r="Q46" i="203" s="1"/>
  <c r="Q45" i="197"/>
  <c r="Q45" i="203" s="1"/>
  <c r="Q44" i="197"/>
  <c r="Q44" i="203" s="1"/>
  <c r="Q43" i="197"/>
  <c r="Q38"/>
  <c r="Q38" i="203" s="1"/>
  <c r="Q37" i="197"/>
  <c r="Q37" i="203" s="1"/>
  <c r="Q36" i="197"/>
  <c r="Q36" i="203" s="1"/>
  <c r="Q35" i="197"/>
  <c r="Q35" i="203" s="1"/>
  <c r="Q30" i="197"/>
  <c r="Q30" i="203" s="1"/>
  <c r="Q29" i="197"/>
  <c r="Q29" i="203" s="1"/>
  <c r="Q28" i="197"/>
  <c r="Q27"/>
  <c r="Q25"/>
  <c r="Q25" i="203" s="1"/>
  <c r="Q24" i="197"/>
  <c r="Q24" i="203" s="1"/>
  <c r="Q23" i="197"/>
  <c r="Q23" i="203" s="1"/>
  <c r="Q21" i="197"/>
  <c r="Q20"/>
  <c r="Q20" i="203" s="1"/>
  <c r="Q10" i="197"/>
  <c r="Q6"/>
  <c r="Q11"/>
  <c r="Q7"/>
  <c r="Q8"/>
  <c r="Q13"/>
  <c r="Q9"/>
  <c r="Q73" i="196"/>
  <c r="Q8"/>
  <c r="Q13"/>
  <c r="Q9"/>
  <c r="Q72"/>
  <c r="Q10"/>
  <c r="Q6"/>
  <c r="Q11"/>
  <c r="Q7"/>
  <c r="J62" i="163"/>
  <c r="J22"/>
  <c r="P74" i="196"/>
  <c r="J155" i="199"/>
  <c r="J129" s="1"/>
  <c r="K62" i="162"/>
  <c r="K64" i="202" s="1"/>
  <c r="K40" i="162"/>
  <c r="K41" i="161"/>
  <c r="K58" i="163"/>
  <c r="N31" i="161"/>
  <c r="L63" i="163"/>
  <c r="L62"/>
  <c r="O23" i="162"/>
  <c r="O23" i="202" s="1"/>
  <c r="N39" i="162"/>
  <c r="N39" i="202" s="1"/>
  <c r="L59" i="163"/>
  <c r="L39" i="161"/>
  <c r="M30" i="163" l="1"/>
  <c r="M30" i="203" s="1"/>
  <c r="P35" i="196"/>
  <c r="O39" i="163"/>
  <c r="O94" s="1"/>
  <c r="O74"/>
  <c r="Q21" i="203"/>
  <c r="O29"/>
  <c r="M33" i="161"/>
  <c r="M33" i="201" s="1"/>
  <c r="M167" i="199"/>
  <c r="M168" s="1"/>
  <c r="M170" s="1"/>
  <c r="M174" s="1"/>
  <c r="M179" s="1"/>
  <c r="P22" i="203"/>
  <c r="L31" i="163"/>
  <c r="Q84" i="199"/>
  <c r="Q85" s="1"/>
  <c r="Q86" s="1"/>
  <c r="I86" s="1"/>
  <c r="K23" i="135" s="1"/>
  <c r="M23" s="1"/>
  <c r="N124" i="199"/>
  <c r="N86" i="193" s="1"/>
  <c r="O100" i="163"/>
  <c r="P30" i="162"/>
  <c r="P30" i="202" s="1"/>
  <c r="O33" i="162"/>
  <c r="P53" i="196"/>
  <c r="Q64"/>
  <c r="P64"/>
  <c r="P66" s="1"/>
  <c r="N55"/>
  <c r="P21" i="201"/>
  <c r="P25" s="1"/>
  <c r="P31" s="1"/>
  <c r="M21" i="163"/>
  <c r="M38" i="199"/>
  <c r="M39" s="1"/>
  <c r="M42" s="1"/>
  <c r="M85" i="163"/>
  <c r="M48" i="203"/>
  <c r="Q60" i="180" s="1"/>
  <c r="M100" i="163"/>
  <c r="O38" i="199"/>
  <c r="O39" s="1"/>
  <c r="O42" s="1"/>
  <c r="O21" i="163"/>
  <c r="O55" i="199"/>
  <c r="O56" s="1"/>
  <c r="O59" s="1"/>
  <c r="O25" i="163"/>
  <c r="O48" i="203"/>
  <c r="S60" i="180" s="1"/>
  <c r="N38" i="203"/>
  <c r="R54" i="180" s="1"/>
  <c r="R55" s="1"/>
  <c r="N75" i="163"/>
  <c r="N76" s="1"/>
  <c r="N39"/>
  <c r="N94" s="1"/>
  <c r="M55" i="199"/>
  <c r="M56" s="1"/>
  <c r="M59" s="1"/>
  <c r="M25" i="163"/>
  <c r="M29" i="203"/>
  <c r="M66" i="163"/>
  <c r="M37" i="203"/>
  <c r="Q54" i="180" s="1"/>
  <c r="Q55" s="1"/>
  <c r="M74" i="163"/>
  <c r="M76" s="1"/>
  <c r="M39"/>
  <c r="M94" s="1"/>
  <c r="O75"/>
  <c r="O38" i="203"/>
  <c r="S54" i="180" s="1"/>
  <c r="S55" s="1"/>
  <c r="N66" i="196"/>
  <c r="I131" i="193"/>
  <c r="Q19" i="201"/>
  <c r="BE20" i="180"/>
  <c r="BE46" s="1"/>
  <c r="Q18" i="201"/>
  <c r="Q21" s="1"/>
  <c r="BE13" i="180"/>
  <c r="BE45" s="1"/>
  <c r="Q23" i="201"/>
  <c r="BE27" i="180"/>
  <c r="BE47" s="1"/>
  <c r="P31" i="195"/>
  <c r="P35" s="1"/>
  <c r="P39" s="1"/>
  <c r="BD51" i="180"/>
  <c r="P55" i="196"/>
  <c r="P62" i="202"/>
  <c r="Q21" i="196"/>
  <c r="Q33"/>
  <c r="Q44"/>
  <c r="Q43" i="203"/>
  <c r="Q49" i="197"/>
  <c r="Q66" i="196"/>
  <c r="Q25"/>
  <c r="Q51"/>
  <c r="Q62" i="202"/>
  <c r="L31" i="203"/>
  <c r="P51" i="180" s="1"/>
  <c r="O51" i="197"/>
  <c r="O29" i="202"/>
  <c r="O33" s="1"/>
  <c r="S29" i="180" s="1"/>
  <c r="L147" i="199"/>
  <c r="L154" s="1"/>
  <c r="J68" i="163"/>
  <c r="M27"/>
  <c r="M51" i="162"/>
  <c r="M48" i="202"/>
  <c r="M51" s="1"/>
  <c r="Q33" i="180" s="1"/>
  <c r="P29" i="202"/>
  <c r="Q39" i="197"/>
  <c r="P31"/>
  <c r="M115" i="199"/>
  <c r="N98"/>
  <c r="N67" i="193" s="1"/>
  <c r="I74" i="199"/>
  <c r="K22" i="135" s="1"/>
  <c r="M22" s="1"/>
  <c r="Q21" i="195"/>
  <c r="Q25" s="1"/>
  <c r="J31" i="163"/>
  <c r="Q74" i="196"/>
  <c r="H74" s="1"/>
  <c r="K62" i="135" s="1"/>
  <c r="M62" s="1"/>
  <c r="Q22" i="197"/>
  <c r="Q26"/>
  <c r="Q26" i="203" s="1"/>
  <c r="K31" i="163"/>
  <c r="J138" i="199"/>
  <c r="J130"/>
  <c r="L40" i="162"/>
  <c r="L62"/>
  <c r="L64" i="202" s="1"/>
  <c r="Q29" i="162"/>
  <c r="N61" i="163"/>
  <c r="L58"/>
  <c r="L41" i="161"/>
  <c r="M67" i="163" l="1"/>
  <c r="M35" i="161"/>
  <c r="O76" i="163"/>
  <c r="Q22" i="203"/>
  <c r="N68" i="196"/>
  <c r="N69" s="1"/>
  <c r="M60" i="163"/>
  <c r="M37" i="161"/>
  <c r="M59" i="163" s="1"/>
  <c r="I42" i="199"/>
  <c r="K20" i="135" s="1"/>
  <c r="M20" s="1"/>
  <c r="P33" i="202"/>
  <c r="O121" i="199"/>
  <c r="O83" i="193" s="1"/>
  <c r="N59" i="162"/>
  <c r="N59" i="202" s="1"/>
  <c r="R38" i="180" s="1"/>
  <c r="P33" i="162"/>
  <c r="O26" i="163"/>
  <c r="O25" i="203"/>
  <c r="O26" s="1"/>
  <c r="S49" i="180" s="1"/>
  <c r="O22" i="163"/>
  <c r="O21" i="203"/>
  <c r="O22" s="1"/>
  <c r="S48" i="180" s="1"/>
  <c r="M21" i="203"/>
  <c r="M22" s="1"/>
  <c r="Q48" i="180" s="1"/>
  <c r="M22" i="163"/>
  <c r="Q25" i="201"/>
  <c r="Q31" s="1"/>
  <c r="I59" i="199"/>
  <c r="K21" i="135" s="1"/>
  <c r="M21" s="1"/>
  <c r="M25" i="203"/>
  <c r="M26" s="1"/>
  <c r="Q49" i="180" s="1"/>
  <c r="M26" i="163"/>
  <c r="Q31" i="195"/>
  <c r="Q35" s="1"/>
  <c r="Q39" s="1"/>
  <c r="BE51" i="180"/>
  <c r="M35" i="201"/>
  <c r="Q18" i="180"/>
  <c r="Q19" s="1"/>
  <c r="Q53" i="196"/>
  <c r="Q35"/>
  <c r="P68"/>
  <c r="P69" s="1"/>
  <c r="O68"/>
  <c r="O69" s="1"/>
  <c r="N70"/>
  <c r="M95" i="163"/>
  <c r="M27" i="203"/>
  <c r="P51" i="197"/>
  <c r="M64" i="163"/>
  <c r="M97"/>
  <c r="J131" i="199"/>
  <c r="J133" s="1"/>
  <c r="Q33" i="162"/>
  <c r="Q29" i="202"/>
  <c r="Q33" s="1"/>
  <c r="N112" i="199"/>
  <c r="M41" i="162"/>
  <c r="M41" i="202" s="1"/>
  <c r="M181" i="199"/>
  <c r="N178" s="1"/>
  <c r="N180" s="1"/>
  <c r="N28" i="163" s="1"/>
  <c r="N109" i="199"/>
  <c r="N110" s="1"/>
  <c r="O95"/>
  <c r="O64" i="193" s="1"/>
  <c r="N48" i="162"/>
  <c r="Q31" i="197"/>
  <c r="J47" i="163"/>
  <c r="J47" i="203" s="1"/>
  <c r="M63" i="163"/>
  <c r="O39" i="162"/>
  <c r="O39" i="202" s="1"/>
  <c r="P23" i="162"/>
  <c r="P23" i="202" s="1"/>
  <c r="M62" i="163"/>
  <c r="M39" i="161" l="1"/>
  <c r="M147" i="199" s="1"/>
  <c r="M154" s="1"/>
  <c r="M37" i="201"/>
  <c r="M39" s="1"/>
  <c r="Q55" i="196"/>
  <c r="O124" i="199"/>
  <c r="O86" i="193" s="1"/>
  <c r="M31" i="203"/>
  <c r="Q51" i="180" s="1"/>
  <c r="M31" i="163"/>
  <c r="J49" i="203"/>
  <c r="N59" i="180"/>
  <c r="N61" s="1"/>
  <c r="O70" i="196"/>
  <c r="P70"/>
  <c r="Q68"/>
  <c r="Q69" s="1"/>
  <c r="N28" i="203"/>
  <c r="Q51" i="197"/>
  <c r="J84" i="163"/>
  <c r="J86" s="1"/>
  <c r="J49"/>
  <c r="N51" i="162"/>
  <c r="N48" i="202"/>
  <c r="N51" s="1"/>
  <c r="R33" i="180" s="1"/>
  <c r="O98" i="199"/>
  <c r="O67" i="193" s="1"/>
  <c r="N113" i="199"/>
  <c r="N33" i="161"/>
  <c r="N167" i="199"/>
  <c r="N168" s="1"/>
  <c r="N170" s="1"/>
  <c r="N174" s="1"/>
  <c r="M40" i="162"/>
  <c r="M40" i="202" s="1"/>
  <c r="J134" i="199"/>
  <c r="J135"/>
  <c r="J42" i="162"/>
  <c r="J44" s="1"/>
  <c r="N50" i="180"/>
  <c r="O31" i="161"/>
  <c r="J63" i="162"/>
  <c r="J65" i="202" s="1"/>
  <c r="J66" s="1"/>
  <c r="N40" i="180" s="1"/>
  <c r="N41" s="1"/>
  <c r="O61" i="163"/>
  <c r="J93"/>
  <c r="J96" s="1"/>
  <c r="J101" s="1"/>
  <c r="M41" i="161" l="1"/>
  <c r="M62" i="162"/>
  <c r="M64" i="202" s="1"/>
  <c r="M58" i="163"/>
  <c r="Q20" i="180"/>
  <c r="Q21" s="1"/>
  <c r="P121" i="199"/>
  <c r="P83" i="193" s="1"/>
  <c r="O59" i="162"/>
  <c r="O59" i="202" s="1"/>
  <c r="S38" i="180" s="1"/>
  <c r="Q70" i="196"/>
  <c r="H70" s="1"/>
  <c r="K61" i="202"/>
  <c r="J68"/>
  <c r="N33" i="201"/>
  <c r="N179" i="199"/>
  <c r="N37" i="161"/>
  <c r="N114" i="199"/>
  <c r="N60" i="163"/>
  <c r="N35" i="161"/>
  <c r="P95" i="199"/>
  <c r="P64" i="193" s="1"/>
  <c r="O48" i="162"/>
  <c r="O109" i="199"/>
  <c r="O110" s="1"/>
  <c r="J136"/>
  <c r="N63" i="163"/>
  <c r="N62"/>
  <c r="Q23" i="162"/>
  <c r="Q23" i="202" s="1"/>
  <c r="P39" i="162"/>
  <c r="P39" i="202" s="1"/>
  <c r="J104" i="163"/>
  <c r="J150" i="199" s="1"/>
  <c r="J151" s="1"/>
  <c r="P61" i="163"/>
  <c r="P124" i="199" l="1"/>
  <c r="P86" i="193" s="1"/>
  <c r="N35" i="201"/>
  <c r="R18" i="180"/>
  <c r="R19" s="1"/>
  <c r="N27" i="163"/>
  <c r="N27" i="203" s="1"/>
  <c r="O51" i="162"/>
  <c r="O48" i="202"/>
  <c r="O51" s="1"/>
  <c r="S33" i="180" s="1"/>
  <c r="N37" i="201"/>
  <c r="N115" i="199"/>
  <c r="O112" s="1"/>
  <c r="N59" i="163"/>
  <c r="N39" i="161"/>
  <c r="P98" i="199"/>
  <c r="P67" i="193" s="1"/>
  <c r="N181" i="199"/>
  <c r="O178" s="1"/>
  <c r="O180" s="1"/>
  <c r="O28" i="163" s="1"/>
  <c r="O113" i="199"/>
  <c r="O114" s="1"/>
  <c r="O167"/>
  <c r="O168" s="1"/>
  <c r="O170" s="1"/>
  <c r="O174" s="1"/>
  <c r="O33" i="161"/>
  <c r="P31"/>
  <c r="K65" i="163"/>
  <c r="K68" s="1"/>
  <c r="P109" i="199" l="1"/>
  <c r="P110" s="1"/>
  <c r="P167" s="1"/>
  <c r="P168" s="1"/>
  <c r="P170" s="1"/>
  <c r="P174" s="1"/>
  <c r="Q121"/>
  <c r="Q83" i="193" s="1"/>
  <c r="P59" i="162"/>
  <c r="P59" i="202" s="1"/>
  <c r="N31" i="163"/>
  <c r="N39" i="201"/>
  <c r="R20" i="180"/>
  <c r="R21" s="1"/>
  <c r="O28" i="203"/>
  <c r="N97" i="163"/>
  <c r="N41" i="162"/>
  <c r="N41" i="202" s="1"/>
  <c r="N95" i="163"/>
  <c r="N64"/>
  <c r="O27"/>
  <c r="O33" i="201"/>
  <c r="N147" i="199"/>
  <c r="N154" s="1"/>
  <c r="N41" i="161"/>
  <c r="N62" i="162"/>
  <c r="N64" i="202" s="1"/>
  <c r="N58" i="163"/>
  <c r="O179" i="199"/>
  <c r="O181" s="1"/>
  <c r="P178" s="1"/>
  <c r="O37" i="161"/>
  <c r="N40" i="162"/>
  <c r="N40" i="202" s="1"/>
  <c r="Q95" i="199"/>
  <c r="Q64" i="193" s="1"/>
  <c r="P48" i="162"/>
  <c r="O115" i="199"/>
  <c r="P112" s="1"/>
  <c r="O60" i="163"/>
  <c r="O35" i="161"/>
  <c r="N63" i="180"/>
  <c r="J51" i="163"/>
  <c r="J88"/>
  <c r="J109" s="1"/>
  <c r="J111" s="1"/>
  <c r="J105"/>
  <c r="J106" s="1"/>
  <c r="K93"/>
  <c r="K96" s="1"/>
  <c r="K101" s="1"/>
  <c r="J53" i="162"/>
  <c r="N34" i="180"/>
  <c r="AY38" s="1"/>
  <c r="O63" i="163"/>
  <c r="O62"/>
  <c r="Q39" i="162"/>
  <c r="Q39" i="202" s="1"/>
  <c r="P113" i="199" l="1"/>
  <c r="P114" s="1"/>
  <c r="P27" i="163" s="1"/>
  <c r="P33" i="161"/>
  <c r="P35" s="1"/>
  <c r="Q124" i="199"/>
  <c r="Q86" i="193" s="1"/>
  <c r="O35" i="201"/>
  <c r="S18" i="180"/>
  <c r="S19" s="1"/>
  <c r="O64" i="163"/>
  <c r="O27" i="203"/>
  <c r="N31"/>
  <c r="R51" i="180" s="1"/>
  <c r="O95" i="163"/>
  <c r="O31"/>
  <c r="O97"/>
  <c r="J39" i="203"/>
  <c r="O37" i="201"/>
  <c r="P51" i="162"/>
  <c r="P48" i="202"/>
  <c r="P51" s="1"/>
  <c r="O40" i="162"/>
  <c r="O40" i="202" s="1"/>
  <c r="P180" i="199"/>
  <c r="O39" i="161"/>
  <c r="O41" i="162"/>
  <c r="O41" i="202" s="1"/>
  <c r="Q98" i="199"/>
  <c r="Q67" i="193" s="1"/>
  <c r="P179" i="199"/>
  <c r="P37" i="161"/>
  <c r="O59" i="163"/>
  <c r="J108"/>
  <c r="J21" i="162"/>
  <c r="K104" i="163"/>
  <c r="K150" i="199" s="1"/>
  <c r="O50" i="180"/>
  <c r="P115" i="199" l="1"/>
  <c r="Q112" s="1"/>
  <c r="P33" i="201"/>
  <c r="P35" s="1"/>
  <c r="P60" i="163"/>
  <c r="Q59" i="162"/>
  <c r="Q59" i="202" s="1"/>
  <c r="O39" i="201"/>
  <c r="S20" i="180"/>
  <c r="S21" s="1"/>
  <c r="P64" i="163"/>
  <c r="P27" i="203"/>
  <c r="O31"/>
  <c r="S51" i="180" s="1"/>
  <c r="P95" i="163"/>
  <c r="J22" i="162"/>
  <c r="K20" s="1"/>
  <c r="K149" i="199" s="1"/>
  <c r="K151" s="1"/>
  <c r="J21" i="202"/>
  <c r="J22" s="1"/>
  <c r="J51" i="203"/>
  <c r="P97" i="163"/>
  <c r="P37" i="201"/>
  <c r="P28" i="163"/>
  <c r="P28" i="203" s="1"/>
  <c r="P181" i="199"/>
  <c r="Q178" s="1"/>
  <c r="Q180"/>
  <c r="O147"/>
  <c r="O154" s="1"/>
  <c r="O41" i="161"/>
  <c r="O58" i="163"/>
  <c r="O62" i="162"/>
  <c r="O64" i="202" s="1"/>
  <c r="Q109" i="199"/>
  <c r="Q110" s="1"/>
  <c r="Q48" i="162"/>
  <c r="P41"/>
  <c r="P41" i="202" s="1"/>
  <c r="J110" i="163"/>
  <c r="J112"/>
  <c r="J113"/>
  <c r="P63"/>
  <c r="L65"/>
  <c r="L68" s="1"/>
  <c r="P59"/>
  <c r="P39" i="161"/>
  <c r="P62" i="163"/>
  <c r="P39" i="201" l="1"/>
  <c r="J25" i="162"/>
  <c r="J72"/>
  <c r="P31" i="163"/>
  <c r="J53" i="203"/>
  <c r="Q28" i="163"/>
  <c r="P147" i="199"/>
  <c r="P154" s="1"/>
  <c r="Q51" i="162"/>
  <c r="Q48" i="202"/>
  <c r="Q51" s="1"/>
  <c r="P40" i="162"/>
  <c r="P40" i="202" s="1"/>
  <c r="Q167" i="199"/>
  <c r="Q168" s="1"/>
  <c r="Q170" s="1"/>
  <c r="Q174" s="1"/>
  <c r="Q113"/>
  <c r="Q114" s="1"/>
  <c r="Q33" i="161"/>
  <c r="P62" i="162"/>
  <c r="P64" i="202" s="1"/>
  <c r="J114" i="163"/>
  <c r="J35" i="162"/>
  <c r="J55" s="1"/>
  <c r="Q31" i="161"/>
  <c r="Q61" i="163"/>
  <c r="L93"/>
  <c r="L96" s="1"/>
  <c r="L101" s="1"/>
  <c r="P58"/>
  <c r="P41" i="161"/>
  <c r="Q28" i="203" l="1"/>
  <c r="P31"/>
  <c r="J54"/>
  <c r="J25" i="202"/>
  <c r="J74"/>
  <c r="K20"/>
  <c r="Q27" i="163"/>
  <c r="Q27" i="203" s="1"/>
  <c r="Q60" i="163"/>
  <c r="Q33" i="201"/>
  <c r="Q35" s="1"/>
  <c r="Q35" i="161"/>
  <c r="Q37"/>
  <c r="Q179" i="199"/>
  <c r="Q181" s="1"/>
  <c r="Q40" i="162" s="1"/>
  <c r="Q40" i="202" s="1"/>
  <c r="Q64" i="163"/>
  <c r="Q115" i="199"/>
  <c r="Q41" i="162" s="1"/>
  <c r="Q41" i="202" s="1"/>
  <c r="J64" i="162"/>
  <c r="J66" s="1"/>
  <c r="L104" i="163"/>
  <c r="L150" i="199" s="1"/>
  <c r="P50" i="180"/>
  <c r="Q63" i="163"/>
  <c r="Q62"/>
  <c r="J35" i="202" l="1"/>
  <c r="J55" s="1"/>
  <c r="N28" i="180"/>
  <c r="N30" s="1"/>
  <c r="Q31" i="163"/>
  <c r="J55" i="203"/>
  <c r="J70" i="202"/>
  <c r="J71" s="1"/>
  <c r="J72" s="1"/>
  <c r="Q95" i="163"/>
  <c r="Q97"/>
  <c r="Q37" i="201"/>
  <c r="Q39" s="1"/>
  <c r="K61" i="162"/>
  <c r="K146" i="199" s="1"/>
  <c r="K148" s="1"/>
  <c r="K155" s="1"/>
  <c r="Q39" i="161"/>
  <c r="Q59" i="163"/>
  <c r="M65"/>
  <c r="M68" s="1"/>
  <c r="N36" i="180" l="1"/>
  <c r="AX37"/>
  <c r="Q31" i="203"/>
  <c r="Q147" i="199"/>
  <c r="Q154" s="1"/>
  <c r="K138"/>
  <c r="K129"/>
  <c r="K130" s="1"/>
  <c r="J68" i="162"/>
  <c r="J69" s="1"/>
  <c r="J70" s="1"/>
  <c r="Q62"/>
  <c r="Q64" i="202" s="1"/>
  <c r="Q58" i="163"/>
  <c r="Q41" i="161"/>
  <c r="M93" i="163"/>
  <c r="M96" s="1"/>
  <c r="M101" l="1"/>
  <c r="M104" s="1"/>
  <c r="M150" i="199" s="1"/>
  <c r="K131"/>
  <c r="K133" s="1"/>
  <c r="K63" i="162"/>
  <c r="K65" i="202" s="1"/>
  <c r="K66" s="1"/>
  <c r="O40" i="180" s="1"/>
  <c r="O41" s="1"/>
  <c r="K47" i="163"/>
  <c r="K47" i="203" s="1"/>
  <c r="Q50" i="180"/>
  <c r="K49" i="203" l="1"/>
  <c r="O59" i="180"/>
  <c r="O61" s="1"/>
  <c r="L61" i="202"/>
  <c r="K68"/>
  <c r="K49" i="163"/>
  <c r="K64" i="162"/>
  <c r="K66" s="1"/>
  <c r="K134" i="199"/>
  <c r="K135"/>
  <c r="K84" i="163"/>
  <c r="K86" s="1"/>
  <c r="N65"/>
  <c r="N68" s="1"/>
  <c r="L61" i="162" l="1"/>
  <c r="L146" i="199" s="1"/>
  <c r="L148" s="1"/>
  <c r="L155" s="1"/>
  <c r="L129" s="1"/>
  <c r="L130" s="1"/>
  <c r="K136"/>
  <c r="K42" i="162"/>
  <c r="K44" s="1"/>
  <c r="N93" i="163"/>
  <c r="N96" s="1"/>
  <c r="I41" i="161"/>
  <c r="K25" i="135" s="1"/>
  <c r="M25" s="1"/>
  <c r="L138" i="199" l="1"/>
  <c r="N101" i="163"/>
  <c r="N104" s="1"/>
  <c r="N150" i="199" s="1"/>
  <c r="L131"/>
  <c r="L133" s="1"/>
  <c r="R50" i="180"/>
  <c r="O63"/>
  <c r="L134" i="199" l="1"/>
  <c r="L135"/>
  <c r="K105" i="163"/>
  <c r="K106" s="1"/>
  <c r="K51"/>
  <c r="K88"/>
  <c r="K109" s="1"/>
  <c r="K111" s="1"/>
  <c r="O65"/>
  <c r="O68" s="1"/>
  <c r="K39" i="203" l="1"/>
  <c r="L136" i="199"/>
  <c r="K108" i="163"/>
  <c r="K113" s="1"/>
  <c r="O93"/>
  <c r="O96" s="1"/>
  <c r="O101" s="1"/>
  <c r="K53" i="162"/>
  <c r="K51" i="203" l="1"/>
  <c r="K112" i="163"/>
  <c r="K110"/>
  <c r="L63" i="162"/>
  <c r="L65" i="202" s="1"/>
  <c r="L66" s="1"/>
  <c r="P40" i="180" s="1"/>
  <c r="P41" s="1"/>
  <c r="L47" i="163"/>
  <c r="L47" i="203" s="1"/>
  <c r="O104" i="163"/>
  <c r="O150" i="199" s="1"/>
  <c r="S50" i="180"/>
  <c r="O34"/>
  <c r="K21" i="162"/>
  <c r="L49" i="203" l="1"/>
  <c r="P59" i="180"/>
  <c r="P61" s="1"/>
  <c r="M61" i="202"/>
  <c r="L68"/>
  <c r="K22" i="162"/>
  <c r="L20" s="1"/>
  <c r="L149" i="199" s="1"/>
  <c r="L151" s="1"/>
  <c r="K21" i="202"/>
  <c r="K22" s="1"/>
  <c r="L49" i="163"/>
  <c r="L64" i="162"/>
  <c r="M61" s="1"/>
  <c r="K53" i="203"/>
  <c r="K114" i="163"/>
  <c r="K25" i="162"/>
  <c r="L84" i="163"/>
  <c r="L86" s="1"/>
  <c r="K72" i="162"/>
  <c r="P93" i="163"/>
  <c r="P96" s="1"/>
  <c r="P101" s="1"/>
  <c r="P65"/>
  <c r="P68" s="1"/>
  <c r="M146" i="199" l="1"/>
  <c r="M148" s="1"/>
  <c r="M155" s="1"/>
  <c r="M129" s="1"/>
  <c r="M130" s="1"/>
  <c r="L66" i="162"/>
  <c r="K54" i="203"/>
  <c r="L20" i="202"/>
  <c r="K25"/>
  <c r="K74"/>
  <c r="L42" i="162"/>
  <c r="L44" s="1"/>
  <c r="K35"/>
  <c r="K55" s="1"/>
  <c r="P104" i="163"/>
  <c r="P150" i="199" s="1"/>
  <c r="P63" i="180"/>
  <c r="K35" i="202" l="1"/>
  <c r="K55" s="1"/>
  <c r="O28" i="180"/>
  <c r="O30" s="1"/>
  <c r="M138" i="199"/>
  <c r="K55" i="203"/>
  <c r="K70" i="202"/>
  <c r="K71" s="1"/>
  <c r="K72" s="1"/>
  <c r="M131" i="199"/>
  <c r="N128" s="1"/>
  <c r="K68" i="162"/>
  <c r="K69" s="1"/>
  <c r="K70" s="1"/>
  <c r="O36" i="180"/>
  <c r="L105" i="163"/>
  <c r="L106" s="1"/>
  <c r="L88"/>
  <c r="L109" s="1"/>
  <c r="L111" s="1"/>
  <c r="M133" i="199" l="1"/>
  <c r="M134" s="1"/>
  <c r="L53" i="162"/>
  <c r="P34" i="180"/>
  <c r="Q93" i="163"/>
  <c r="Q96" s="1"/>
  <c r="Q101" s="1"/>
  <c r="Q65"/>
  <c r="Q68" s="1"/>
  <c r="L51"/>
  <c r="M135" i="199" l="1"/>
  <c r="M136" s="1"/>
  <c r="L39" i="203"/>
  <c r="M63" i="162"/>
  <c r="M65" i="202" s="1"/>
  <c r="M66" s="1"/>
  <c r="L108" i="163"/>
  <c r="L112" s="1"/>
  <c r="M47"/>
  <c r="M47" i="203" s="1"/>
  <c r="Q104" i="163"/>
  <c r="Q150" i="199" s="1"/>
  <c r="L21" i="162"/>
  <c r="N61" i="202" l="1"/>
  <c r="Q40" i="180"/>
  <c r="Q41" s="1"/>
  <c r="M49" i="203"/>
  <c r="Q59" i="180"/>
  <c r="Q61" s="1"/>
  <c r="M49" i="163"/>
  <c r="L22" i="162"/>
  <c r="M20" s="1"/>
  <c r="M149" i="199" s="1"/>
  <c r="M151" s="1"/>
  <c r="L21" i="202"/>
  <c r="L22" s="1"/>
  <c r="M64" i="162"/>
  <c r="N61" s="1"/>
  <c r="N146" i="199" s="1"/>
  <c r="N148" s="1"/>
  <c r="N155" s="1"/>
  <c r="L51" i="203"/>
  <c r="L110" i="163"/>
  <c r="L113"/>
  <c r="Q63" i="180"/>
  <c r="M84" i="163"/>
  <c r="M105"/>
  <c r="M106" s="1"/>
  <c r="L72" i="162" l="1"/>
  <c r="L25"/>
  <c r="M68" i="202"/>
  <c r="M66" i="162"/>
  <c r="M86" i="163"/>
  <c r="M88" s="1"/>
  <c r="M109" s="1"/>
  <c r="M111" s="1"/>
  <c r="L53" i="203"/>
  <c r="N129" i="199"/>
  <c r="N130" s="1"/>
  <c r="N138"/>
  <c r="L114" i="163"/>
  <c r="M42" i="162"/>
  <c r="M42" i="202" s="1"/>
  <c r="M51" i="163"/>
  <c r="L35" i="162" l="1"/>
  <c r="L55" s="1"/>
  <c r="L68" s="1"/>
  <c r="L69" s="1"/>
  <c r="L70" s="1"/>
  <c r="L54" i="203"/>
  <c r="L74" i="202"/>
  <c r="M20"/>
  <c r="L25"/>
  <c r="M39" i="203"/>
  <c r="N131" i="199"/>
  <c r="O128" s="1"/>
  <c r="M44" i="162"/>
  <c r="M53" s="1"/>
  <c r="M44" i="202"/>
  <c r="M108" i="163"/>
  <c r="M113" s="1"/>
  <c r="M21" i="162"/>
  <c r="L35" i="202" l="1"/>
  <c r="L55" s="1"/>
  <c r="P28" i="180"/>
  <c r="P30" s="1"/>
  <c r="P36" s="1"/>
  <c r="M53" i="202"/>
  <c r="Q32" i="180"/>
  <c r="Q34" s="1"/>
  <c r="M22" i="162"/>
  <c r="M25" s="1"/>
  <c r="L55" i="203"/>
  <c r="L70" i="202"/>
  <c r="L71" s="1"/>
  <c r="L72" s="1"/>
  <c r="N133" i="199"/>
  <c r="N135" s="1"/>
  <c r="M51" i="203"/>
  <c r="M21" i="202" s="1"/>
  <c r="M22" s="1"/>
  <c r="M112" i="163"/>
  <c r="M110"/>
  <c r="N63" i="162"/>
  <c r="N65" i="202" s="1"/>
  <c r="N66" s="1"/>
  <c r="O61" l="1"/>
  <c r="R40" i="180"/>
  <c r="R41" s="1"/>
  <c r="N20" i="162"/>
  <c r="N149" i="199" s="1"/>
  <c r="N151" s="1"/>
  <c r="N134"/>
  <c r="N136" s="1"/>
  <c r="M72" i="162"/>
  <c r="N64"/>
  <c r="M114" i="163"/>
  <c r="M53" i="203"/>
  <c r="N47" i="163"/>
  <c r="N47" i="203" s="1"/>
  <c r="M35" i="162"/>
  <c r="M55" s="1"/>
  <c r="N49" i="203" l="1"/>
  <c r="R59" i="180"/>
  <c r="R61" s="1"/>
  <c r="R63" s="1"/>
  <c r="N68" i="202"/>
  <c r="O61" i="162"/>
  <c r="O146" i="199" s="1"/>
  <c r="O148" s="1"/>
  <c r="O155" s="1"/>
  <c r="O129" s="1"/>
  <c r="O130" s="1"/>
  <c r="N66" i="162"/>
  <c r="N49" i="163"/>
  <c r="N51" s="1"/>
  <c r="M54" i="203"/>
  <c r="N105" i="163"/>
  <c r="N106" s="1"/>
  <c r="N42" i="162"/>
  <c r="N42" i="202" s="1"/>
  <c r="N84" i="163"/>
  <c r="M68" i="162"/>
  <c r="M69" s="1"/>
  <c r="M70" s="1"/>
  <c r="O138" i="199" l="1"/>
  <c r="N86" i="163"/>
  <c r="N88" s="1"/>
  <c r="N109" s="1"/>
  <c r="N111" s="1"/>
  <c r="M55" i="203"/>
  <c r="M25" i="202"/>
  <c r="M74"/>
  <c r="N20"/>
  <c r="N39" i="203"/>
  <c r="O131" i="199"/>
  <c r="P128" s="1"/>
  <c r="N44" i="162"/>
  <c r="N44" i="202"/>
  <c r="N108" i="163"/>
  <c r="N21" i="162"/>
  <c r="N22" s="1"/>
  <c r="N53" i="202" l="1"/>
  <c r="R32" i="180"/>
  <c r="R34" s="1"/>
  <c r="BA38" s="1"/>
  <c r="M35" i="202"/>
  <c r="M55" s="1"/>
  <c r="M70" s="1"/>
  <c r="M71" s="1"/>
  <c r="M72" s="1"/>
  <c r="Q28" i="180"/>
  <c r="Q30" s="1"/>
  <c r="Q36" s="1"/>
  <c r="N113" i="163"/>
  <c r="N53" i="162"/>
  <c r="O133" i="199"/>
  <c r="O134" s="1"/>
  <c r="N51" i="203"/>
  <c r="N21" i="202" s="1"/>
  <c r="N22" s="1"/>
  <c r="O20" i="162"/>
  <c r="O149" i="199" s="1"/>
  <c r="O151" s="1"/>
  <c r="N112" i="163"/>
  <c r="N110"/>
  <c r="N25" i="162"/>
  <c r="O47" i="163"/>
  <c r="O47" i="203" s="1"/>
  <c r="O63" i="162"/>
  <c r="O65" i="202" s="1"/>
  <c r="O66" s="1"/>
  <c r="N72" i="162"/>
  <c r="P61" i="202" l="1"/>
  <c r="S40" i="180"/>
  <c r="S41" s="1"/>
  <c r="O49" i="203"/>
  <c r="S59" i="180"/>
  <c r="S61" s="1"/>
  <c r="O49" i="163"/>
  <c r="O64" i="162"/>
  <c r="P61" s="1"/>
  <c r="P146" i="199" s="1"/>
  <c r="P148" s="1"/>
  <c r="P155" s="1"/>
  <c r="O135"/>
  <c r="O136" s="1"/>
  <c r="N53" i="203"/>
  <c r="N114" i="163"/>
  <c r="O84"/>
  <c r="O86" s="1"/>
  <c r="N35" i="162"/>
  <c r="N55" s="1"/>
  <c r="O68" i="202" l="1"/>
  <c r="O66" i="162"/>
  <c r="N54" i="203"/>
  <c r="P138" i="199"/>
  <c r="P129"/>
  <c r="P130" s="1"/>
  <c r="O42" i="162"/>
  <c r="O42" i="202" s="1"/>
  <c r="N68" i="162"/>
  <c r="N69" s="1"/>
  <c r="N70" s="1"/>
  <c r="O88" i="163"/>
  <c r="O109" s="1"/>
  <c r="O111" s="1"/>
  <c r="S63" i="180"/>
  <c r="O105" i="163"/>
  <c r="O106" s="1"/>
  <c r="O51"/>
  <c r="N55" i="203" l="1"/>
  <c r="O20" i="202"/>
  <c r="N74"/>
  <c r="N25"/>
  <c r="O39" i="203"/>
  <c r="P131" i="199"/>
  <c r="Q128" s="1"/>
  <c r="O44" i="162"/>
  <c r="O44" i="202"/>
  <c r="O108" i="163"/>
  <c r="O113" s="1"/>
  <c r="P47"/>
  <c r="P47" i="203" s="1"/>
  <c r="P49" s="1"/>
  <c r="P63" i="162"/>
  <c r="P65" i="202" s="1"/>
  <c r="P66" s="1"/>
  <c r="Q61" s="1"/>
  <c r="O21" i="162"/>
  <c r="O22" s="1"/>
  <c r="O53" i="202" l="1"/>
  <c r="S32" i="180"/>
  <c r="S34" s="1"/>
  <c r="N35" i="202"/>
  <c r="N55" s="1"/>
  <c r="R28" i="180"/>
  <c r="R30" s="1"/>
  <c r="P49" i="163"/>
  <c r="P64" i="162"/>
  <c r="N70" i="202"/>
  <c r="O53" i="162"/>
  <c r="P133" i="199"/>
  <c r="P134" s="1"/>
  <c r="O51" i="203"/>
  <c r="O21" i="202" s="1"/>
  <c r="O22" s="1"/>
  <c r="P20" i="162"/>
  <c r="P149" i="199" s="1"/>
  <c r="P151" s="1"/>
  <c r="O112" i="163"/>
  <c r="O110"/>
  <c r="O25" i="162"/>
  <c r="P84" i="163"/>
  <c r="P86" s="1"/>
  <c r="O72" i="162"/>
  <c r="R36" i="180" l="1"/>
  <c r="P68" i="202"/>
  <c r="Q61" i="162"/>
  <c r="Q146" i="199" s="1"/>
  <c r="Q148" s="1"/>
  <c r="Q155" s="1"/>
  <c r="Q129" s="1"/>
  <c r="Q130" s="1"/>
  <c r="P66" i="162"/>
  <c r="P135" i="199"/>
  <c r="P136" s="1"/>
  <c r="N71" i="202"/>
  <c r="N72" s="1"/>
  <c r="O53" i="203"/>
  <c r="O114" i="163"/>
  <c r="P42" i="162"/>
  <c r="P42" i="202" s="1"/>
  <c r="O35" i="162"/>
  <c r="O55" s="1"/>
  <c r="P105" i="163"/>
  <c r="P106" s="1"/>
  <c r="P88"/>
  <c r="P109" s="1"/>
  <c r="P111" s="1"/>
  <c r="AX39" i="180" l="1"/>
  <c r="BA37"/>
  <c r="BA39"/>
  <c r="BB39" s="1"/>
  <c r="Q138" i="199"/>
  <c r="I138" s="1"/>
  <c r="K63" i="135" s="1"/>
  <c r="M63" s="1"/>
  <c r="O54" i="203"/>
  <c r="O25" i="202"/>
  <c r="Q131" i="199"/>
  <c r="Q133" s="1"/>
  <c r="Q134" s="1"/>
  <c r="P44" i="162"/>
  <c r="P53" s="1"/>
  <c r="P44" i="202"/>
  <c r="P53" s="1"/>
  <c r="O68" i="162"/>
  <c r="O69" s="1"/>
  <c r="O70" s="1"/>
  <c r="P51" i="163"/>
  <c r="BB37" i="180" l="1"/>
  <c r="AZ38"/>
  <c r="BB38" s="1"/>
  <c r="O35" i="202"/>
  <c r="O55" s="1"/>
  <c r="O70" s="1"/>
  <c r="S28" i="180"/>
  <c r="S30" s="1"/>
  <c r="S36" s="1"/>
  <c r="O55" i="203"/>
  <c r="P20" i="202"/>
  <c r="O74"/>
  <c r="Q135" i="199"/>
  <c r="Q136" s="1"/>
  <c r="I136" s="1"/>
  <c r="K24" i="135" s="1"/>
  <c r="M24" s="1"/>
  <c r="P39" i="203"/>
  <c r="P108" i="163"/>
  <c r="P113" s="1"/>
  <c r="P21" i="162"/>
  <c r="P22" s="1"/>
  <c r="O71" i="202" l="1"/>
  <c r="O72" s="1"/>
  <c r="P51" i="203"/>
  <c r="P21" i="202" s="1"/>
  <c r="P22" s="1"/>
  <c r="Q20" i="162"/>
  <c r="Q149" i="199" s="1"/>
  <c r="Q151" s="1"/>
  <c r="P112" i="163"/>
  <c r="P110"/>
  <c r="Q63" i="162"/>
  <c r="Q65" i="202" s="1"/>
  <c r="Q66" s="1"/>
  <c r="P25" i="162"/>
  <c r="P35" s="1"/>
  <c r="P55" s="1"/>
  <c r="Q47" i="163"/>
  <c r="Q47" i="203" s="1"/>
  <c r="Q49" s="1"/>
  <c r="P72" i="162"/>
  <c r="Q84" i="163" l="1"/>
  <c r="Q86" s="1"/>
  <c r="Q88" s="1"/>
  <c r="Q109" s="1"/>
  <c r="Q111" s="1"/>
  <c r="Q49"/>
  <c r="Q64" i="162"/>
  <c r="Q66" s="1"/>
  <c r="P53" i="203"/>
  <c r="P114" i="163"/>
  <c r="P68" i="162"/>
  <c r="P69" s="1"/>
  <c r="P70" s="1"/>
  <c r="Q105" i="163"/>
  <c r="Q106" s="1"/>
  <c r="Q68" i="202" l="1"/>
  <c r="P54" i="203"/>
  <c r="Q42" i="162"/>
  <c r="Q42" i="202" s="1"/>
  <c r="Q51" i="163"/>
  <c r="P55" i="203" l="1"/>
  <c r="Q20" i="202"/>
  <c r="P74"/>
  <c r="P25"/>
  <c r="P35" s="1"/>
  <c r="P55" s="1"/>
  <c r="Q39" i="203"/>
  <c r="Q44" i="162"/>
  <c r="Q53" s="1"/>
  <c r="Q44" i="202"/>
  <c r="Q53" s="1"/>
  <c r="Q108" i="163"/>
  <c r="Q113" s="1"/>
  <c r="Q21" i="162"/>
  <c r="Q22" s="1"/>
  <c r="P70" i="202" l="1"/>
  <c r="Q51" i="203"/>
  <c r="Q21" i="202" s="1"/>
  <c r="Q22" s="1"/>
  <c r="Q25" i="162"/>
  <c r="Q35" s="1"/>
  <c r="Q55" s="1"/>
  <c r="Q112" i="163"/>
  <c r="Q110"/>
  <c r="Q72" i="162"/>
  <c r="P71" i="202" l="1"/>
  <c r="P72" s="1"/>
  <c r="Q53" i="203"/>
  <c r="Q54" s="1"/>
  <c r="Q114" i="163"/>
  <c r="Q68" i="162"/>
  <c r="Q69" s="1"/>
  <c r="Q70" s="1"/>
  <c r="I72" l="1"/>
  <c r="K64" i="135" s="1"/>
  <c r="M64" s="1"/>
  <c r="I70" i="162"/>
  <c r="K26" i="135" s="1"/>
  <c r="M26" s="1"/>
  <c r="I114" i="163"/>
  <c r="K27" i="135" s="1"/>
  <c r="M27" s="1"/>
  <c r="Q55" i="203" l="1"/>
  <c r="I55" s="1"/>
  <c r="Q25" i="202"/>
  <c r="Q35" s="1"/>
  <c r="Q55" s="1"/>
  <c r="Q74"/>
  <c r="H74" s="1"/>
  <c r="Q70" l="1"/>
  <c r="Q71" s="1"/>
  <c r="Q72" s="1"/>
  <c r="M29" i="135"/>
  <c r="H72" i="202" l="1"/>
  <c r="I13" i="135"/>
  <c r="I14"/>
  <c r="H73" i="191" l="1"/>
  <c r="K61" i="135" s="1"/>
  <c r="M61" s="1"/>
  <c r="M66" l="1"/>
  <c r="I54" l="1"/>
  <c r="I55"/>
  <c r="C10" i="177" s="1"/>
  <c r="B2" i="202" l="1"/>
  <c r="B2" i="203"/>
  <c r="B2" i="199"/>
  <c r="B2" i="201"/>
  <c r="C11" i="188"/>
  <c r="B2" i="193"/>
  <c r="C11" i="184"/>
  <c r="B2" i="128"/>
  <c r="B2" i="174"/>
  <c r="B2" i="192"/>
  <c r="C11" i="183"/>
  <c r="C11" i="169"/>
  <c r="B2" i="131"/>
  <c r="B2" i="161"/>
  <c r="B2" i="130"/>
  <c r="C11" i="124"/>
  <c r="B2" i="135"/>
  <c r="C11" i="123"/>
  <c r="C11" i="134"/>
  <c r="B2" i="196"/>
  <c r="B2" i="197"/>
  <c r="C11" i="186"/>
  <c r="B2" i="182"/>
  <c r="B2" i="191"/>
  <c r="C11" i="189"/>
  <c r="B2" i="122"/>
  <c r="B2" i="180"/>
  <c r="C11" i="187"/>
  <c r="C11" i="132"/>
  <c r="C11" i="137"/>
  <c r="C11" i="127"/>
  <c r="B2" i="176"/>
  <c r="C11" i="168"/>
  <c r="B2" i="162"/>
  <c r="B2" i="163"/>
  <c r="B2" i="195"/>
  <c r="C11" i="194"/>
  <c r="B2" i="190"/>
</calcChain>
</file>

<file path=xl/comments1.xml><?xml version="1.0" encoding="utf-8"?>
<comments xmlns="http://schemas.openxmlformats.org/spreadsheetml/2006/main">
  <authors>
    <author>Best Practice Modelling</author>
    <author>Michael Hutchens</author>
  </authors>
  <commentList>
    <comment ref="B1" authorId="0">
      <text>
        <r>
          <rPr>
            <b/>
            <sz val="9"/>
            <color indexed="81"/>
            <rFont val="Tahoma"/>
            <family val="2"/>
          </rPr>
          <t>Best Practice Modelling:</t>
        </r>
        <r>
          <rPr>
            <sz val="9"/>
            <color indexed="81"/>
            <rFont val="Tahoma"/>
            <family val="2"/>
          </rPr>
          <t xml:space="preserve">
Assumptions always located on visually-identifiable assumption sheets (BPMS 5-1).</t>
        </r>
      </text>
    </comment>
    <comment ref="J13" authorId="0">
      <text>
        <r>
          <rPr>
            <b/>
            <sz val="9"/>
            <color indexed="81"/>
            <rFont val="Tahoma"/>
            <family val="2"/>
          </rPr>
          <t>Best Practice Modelling:</t>
        </r>
        <r>
          <rPr>
            <sz val="9"/>
            <color indexed="81"/>
            <rFont val="Tahoma"/>
            <family val="2"/>
          </rPr>
          <t xml:space="preserve">
Use of drop down box controls (BPMC 5-8).</t>
        </r>
      </text>
    </comment>
    <comment ref="K13" authorId="0">
      <text>
        <r>
          <rPr>
            <b/>
            <sz val="9"/>
            <color indexed="81"/>
            <rFont val="Tahoma"/>
            <family val="2"/>
          </rPr>
          <t>Best Practice Modelling:</t>
        </r>
        <r>
          <rPr>
            <sz val="9"/>
            <color indexed="81"/>
            <rFont val="Tahoma"/>
            <family val="2"/>
          </rPr>
          <t xml:space="preserve">
Control lookup data located on dedicated lookup sheets (BPMS 5-4).</t>
        </r>
      </text>
    </comment>
    <comment ref="J26" authorId="0">
      <text>
        <r>
          <rPr>
            <b/>
            <sz val="9"/>
            <color indexed="81"/>
            <rFont val="Tahoma"/>
            <family val="2"/>
          </rPr>
          <t>Best Practice Modelling:</t>
        </r>
        <r>
          <rPr>
            <sz val="9"/>
            <color indexed="81"/>
            <rFont val="Tahoma"/>
            <family val="2"/>
          </rPr>
          <t xml:space="preserve">
Control cell links placed under controls (BPMS 5-3).</t>
        </r>
      </text>
    </comment>
    <comment ref="J31" authorId="0">
      <text>
        <r>
          <rPr>
            <b/>
            <sz val="9"/>
            <color indexed="81"/>
            <rFont val="Tahoma"/>
            <family val="2"/>
          </rPr>
          <t>Best Practice Modelling:</t>
        </r>
        <r>
          <rPr>
            <sz val="9"/>
            <color indexed="81"/>
            <rFont val="Tahoma"/>
            <family val="2"/>
          </rPr>
          <t xml:space="preserve">
Range naming conventions adopted to indicate control type within cell link range name (BPMC 5-5).
Use of check box controls (BPMC 5-6).</t>
        </r>
      </text>
    </comment>
    <comment ref="J32" authorId="0">
      <text>
        <r>
          <rPr>
            <b/>
            <sz val="9"/>
            <color indexed="81"/>
            <rFont val="Tahoma"/>
            <family val="2"/>
          </rPr>
          <t>Best Practice Modelling:</t>
        </r>
        <r>
          <rPr>
            <sz val="9"/>
            <color indexed="81"/>
            <rFont val="Tahoma"/>
            <family val="2"/>
          </rPr>
          <t xml:space="preserve">
Data validation prevents invalid assumption entries (BPMC 5-10).</t>
        </r>
      </text>
    </comment>
    <comment ref="J40" authorId="0">
      <text>
        <r>
          <rPr>
            <b/>
            <sz val="9"/>
            <color indexed="81"/>
            <rFont val="Tahoma"/>
            <family val="2"/>
          </rPr>
          <t>Best Practice Modelling:</t>
        </r>
        <r>
          <rPr>
            <sz val="9"/>
            <color indexed="81"/>
            <rFont val="Tahoma"/>
            <family val="2"/>
          </rPr>
          <t xml:space="preserve">
Use of controls to limit assumption entry possibilities (BPMC 5-2, BPMC 5-2).</t>
        </r>
      </text>
    </comment>
    <comment ref="J41" authorId="0">
      <text>
        <r>
          <rPr>
            <b/>
            <sz val="9"/>
            <color indexed="81"/>
            <rFont val="Tahoma"/>
            <family val="2"/>
          </rPr>
          <t>Best Practice Modelling:</t>
        </r>
        <r>
          <rPr>
            <sz val="9"/>
            <color indexed="81"/>
            <rFont val="Tahoma"/>
            <family val="2"/>
          </rPr>
          <t xml:space="preserve">
Conditional formatting of inactive assumption cells (BPMC 5-11).
Visual identification of inactive assumption cells (BPMC 5-12).</t>
        </r>
      </text>
    </comment>
    <comment ref="E46" authorId="1">
      <text>
        <r>
          <rPr>
            <sz val="9"/>
            <color indexed="81"/>
            <rFont val="Tahoma"/>
            <family val="2"/>
          </rPr>
          <t>Data time series sheets will end at this date.</t>
        </r>
      </text>
    </comment>
    <comment ref="E47" authorId="1">
      <text>
        <r>
          <rPr>
            <sz val="9"/>
            <color indexed="81"/>
            <rFont val="Tahoma"/>
            <family val="2"/>
          </rPr>
          <t>Total number of active columns on data time series sheets.</t>
        </r>
      </text>
    </comment>
    <comment ref="E48" authorId="1">
      <text>
        <r>
          <rPr>
            <sz val="9"/>
            <color indexed="81"/>
            <rFont val="Tahoma"/>
            <family val="2"/>
          </rPr>
          <t>Period number of last full period on data time series sheets. First period is always treated as a full period if more than one total period.</t>
        </r>
      </text>
    </comment>
    <comment ref="E49" authorId="1">
      <text>
        <r>
          <rPr>
            <sz val="9"/>
            <color indexed="81"/>
            <rFont val="Tahoma"/>
            <family val="2"/>
          </rPr>
          <t>Indicates whether or not the final active period of data time series sheets is a partial period.</t>
        </r>
      </text>
    </comment>
  </commentList>
</comments>
</file>

<file path=xl/comments10.xml><?xml version="1.0" encoding="utf-8"?>
<comments xmlns="http://schemas.openxmlformats.org/spreadsheetml/2006/main">
  <authors>
    <author>Michael Hutchens</author>
  </authors>
  <commentList>
    <comment ref="H72" authorId="0">
      <text>
        <r>
          <rPr>
            <b/>
            <sz val="9"/>
            <color indexed="81"/>
            <rFont val="Tahoma"/>
            <family val="2"/>
          </rPr>
          <t xml:space="preserve">Error Check
</t>
        </r>
        <r>
          <rPr>
            <sz val="9"/>
            <color indexed="81"/>
            <rFont val="Tahoma"/>
            <family val="2"/>
          </rPr>
          <t>Flags the existence of errors.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11.xml><?xml version="1.0" encoding="utf-8"?>
<comments xmlns="http://schemas.openxmlformats.org/spreadsheetml/2006/main">
  <authors>
    <author>Michael Hutchens</author>
  </authors>
  <commentList>
    <comment ref="I55" authorId="0">
      <text>
        <r>
          <rPr>
            <b/>
            <sz val="9"/>
            <color indexed="81"/>
            <rFont val="Tahoma"/>
            <family val="2"/>
          </rPr>
          <t xml:space="preserve">Error Check
</t>
        </r>
        <r>
          <rPr>
            <sz val="9"/>
            <color indexed="81"/>
            <rFont val="Tahoma"/>
            <family val="2"/>
          </rPr>
          <t>Flags the existence of errors.</t>
        </r>
      </text>
    </comment>
  </commentList>
</comments>
</file>

<file path=xl/comments12.xml><?xml version="1.0" encoding="utf-8"?>
<comments xmlns="http://schemas.openxmlformats.org/spreadsheetml/2006/main">
  <authors>
    <author>Best Practice Modelling</author>
  </authors>
  <commentList>
    <comment ref="D11" authorId="0">
      <text>
        <r>
          <rPr>
            <b/>
            <sz val="9"/>
            <color indexed="81"/>
            <rFont val="Tahoma"/>
            <family val="2"/>
          </rPr>
          <t>Best Practice Modelling:</t>
        </r>
        <r>
          <rPr>
            <sz val="9"/>
            <color indexed="81"/>
            <rFont val="Tahoma"/>
            <family val="2"/>
          </rPr>
          <t xml:space="preserve">
Control lookup data located on dedicated lookup sheets (BPMS 5-4).</t>
        </r>
      </text>
    </comment>
  </commentList>
</comments>
</file>

<file path=xl/comments2.xml><?xml version="1.0" encoding="utf-8"?>
<comments xmlns="http://schemas.openxmlformats.org/spreadsheetml/2006/main">
  <authors>
    <author>Best Practice Modelling</author>
  </authors>
  <commentList>
    <comment ref="J18" authorId="0">
      <text>
        <r>
          <rPr>
            <b/>
            <sz val="9"/>
            <color indexed="81"/>
            <rFont val="Tahoma"/>
            <family val="2"/>
          </rPr>
          <t>Best Practice Modelling:</t>
        </r>
        <r>
          <rPr>
            <sz val="9"/>
            <color indexed="81"/>
            <rFont val="Tahoma"/>
            <family val="2"/>
          </rPr>
          <t xml:space="preserve">
Data validation used to prevent invalid assumption entries (BPMC 5-1).</t>
        </r>
      </text>
    </comment>
    <comment ref="M27" authorId="0">
      <text>
        <r>
          <rPr>
            <b/>
            <sz val="9"/>
            <color indexed="81"/>
            <rFont val="Tahoma"/>
            <family val="2"/>
          </rPr>
          <t>Best Practice Modelling:</t>
        </r>
        <r>
          <rPr>
            <sz val="9"/>
            <color indexed="81"/>
            <rFont val="Tahoma"/>
            <family val="2"/>
          </rPr>
          <t xml:space="preserve">
Conditional formatting of inactive assumption cells (BPMC 5-11).
Visual identification of inactive assumption cells (BPMC 5-12).</t>
        </r>
      </text>
    </comment>
  </commentList>
</comments>
</file>

<file path=xl/comments3.xml><?xml version="1.0" encoding="utf-8"?>
<comments xmlns="http://schemas.openxmlformats.org/spreadsheetml/2006/main">
  <authors>
    <author>Michael Hutchens</author>
  </authors>
  <commentList>
    <comment ref="H69" authorId="0">
      <text>
        <r>
          <rPr>
            <b/>
            <sz val="9"/>
            <color indexed="81"/>
            <rFont val="Tahoma"/>
            <family val="2"/>
          </rPr>
          <t xml:space="preserve">Alert Check
</t>
        </r>
        <r>
          <rPr>
            <sz val="9"/>
            <color indexed="81"/>
            <rFont val="Tahoma"/>
            <family val="2"/>
          </rPr>
          <t>Flags the occurrence of designated events.</t>
        </r>
      </text>
    </comment>
    <comment ref="H73"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4.xml><?xml version="1.0" encoding="utf-8"?>
<comments xmlns="http://schemas.openxmlformats.org/spreadsheetml/2006/main">
  <authors>
    <author>Best Practice Modelling</author>
  </authors>
  <commentList>
    <comment ref="C31" authorId="0">
      <text>
        <r>
          <rPr>
            <b/>
            <sz val="9"/>
            <color indexed="81"/>
            <rFont val="Tahoma"/>
            <family val="2"/>
          </rPr>
          <t>Best Practice Modelling:</t>
        </r>
        <r>
          <rPr>
            <sz val="9"/>
            <color indexed="81"/>
            <rFont val="Tahoma"/>
            <family val="2"/>
          </rPr>
          <t xml:space="preserve">
Prevention of heading or label repetition (BPMC 5-4).</t>
        </r>
      </text>
    </comment>
  </commentList>
</comments>
</file>

<file path=xl/comments5.xml><?xml version="1.0" encoding="utf-8"?>
<comments xmlns="http://schemas.openxmlformats.org/spreadsheetml/2006/main">
  <authors>
    <author>Michael Hutchens</author>
  </authors>
  <commentList>
    <comment ref="H70" authorId="0">
      <text>
        <r>
          <rPr>
            <b/>
            <sz val="9"/>
            <color indexed="81"/>
            <rFont val="Tahoma"/>
            <family val="2"/>
          </rPr>
          <t xml:space="preserve">Alert Check
</t>
        </r>
        <r>
          <rPr>
            <sz val="9"/>
            <color indexed="81"/>
            <rFont val="Tahoma"/>
            <family val="2"/>
          </rPr>
          <t>Flags the occurrence of designated events.</t>
        </r>
      </text>
    </comment>
    <comment ref="H74"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6.xml><?xml version="1.0" encoding="utf-8"?>
<comments xmlns="http://schemas.openxmlformats.org/spreadsheetml/2006/main">
  <authors>
    <author>Best Practice Modelling</author>
    <author>Michael Hutchens</author>
  </authors>
  <commentList>
    <comment ref="I42" authorId="0">
      <text>
        <r>
          <rPr>
            <b/>
            <sz val="9"/>
            <color indexed="81"/>
            <rFont val="Tahoma"/>
            <family val="2"/>
          </rPr>
          <t xml:space="preserve">Error Check
</t>
        </r>
        <r>
          <rPr>
            <sz val="9"/>
            <color indexed="81"/>
            <rFont val="Tahoma"/>
            <family val="2"/>
          </rPr>
          <t>Flags the existence of errors.</t>
        </r>
      </text>
    </comment>
    <comment ref="I59" authorId="0">
      <text>
        <r>
          <rPr>
            <b/>
            <sz val="9"/>
            <color indexed="81"/>
            <rFont val="Tahoma"/>
            <family val="2"/>
          </rPr>
          <t xml:space="preserve">Error Check
</t>
        </r>
        <r>
          <rPr>
            <sz val="9"/>
            <color indexed="81"/>
            <rFont val="Tahoma"/>
            <family val="2"/>
          </rPr>
          <t>Flags the existence of errors.</t>
        </r>
      </text>
    </comment>
    <comment ref="I74" authorId="0">
      <text>
        <r>
          <rPr>
            <b/>
            <sz val="9"/>
            <color indexed="81"/>
            <rFont val="Tahoma"/>
            <family val="2"/>
          </rPr>
          <t xml:space="preserve">Error Check
</t>
        </r>
        <r>
          <rPr>
            <sz val="9"/>
            <color indexed="81"/>
            <rFont val="Tahoma"/>
            <family val="2"/>
          </rPr>
          <t>Flags the existence of errors.</t>
        </r>
      </text>
    </comment>
    <comment ref="I86" authorId="0">
      <text>
        <r>
          <rPr>
            <b/>
            <sz val="9"/>
            <color indexed="81"/>
            <rFont val="Tahoma"/>
            <family val="2"/>
          </rPr>
          <t xml:space="preserve">Error Check
</t>
        </r>
        <r>
          <rPr>
            <sz val="9"/>
            <color indexed="81"/>
            <rFont val="Tahoma"/>
            <family val="2"/>
          </rPr>
          <t>Flags the existence of errors.</t>
        </r>
      </text>
    </comment>
    <comment ref="I136" authorId="1">
      <text>
        <r>
          <rPr>
            <b/>
            <sz val="9"/>
            <color indexed="81"/>
            <rFont val="Tahoma"/>
            <family val="2"/>
          </rPr>
          <t xml:space="preserve">Error Check
</t>
        </r>
        <r>
          <rPr>
            <sz val="9"/>
            <color indexed="81"/>
            <rFont val="Tahoma"/>
            <family val="2"/>
          </rPr>
          <t>Flags the existence of errors.</t>
        </r>
      </text>
    </comment>
    <comment ref="I138" authorId="1">
      <text>
        <r>
          <rPr>
            <b/>
            <sz val="9"/>
            <color indexed="81"/>
            <rFont val="Tahoma"/>
            <family val="2"/>
          </rPr>
          <t xml:space="preserve">Alert Check
</t>
        </r>
        <r>
          <rPr>
            <sz val="9"/>
            <color indexed="81"/>
            <rFont val="Tahoma"/>
            <family val="2"/>
          </rPr>
          <t>Flags the occurrence of designated events.</t>
        </r>
      </text>
    </comment>
  </commentList>
</comments>
</file>

<file path=xl/comments7.xml><?xml version="1.0" encoding="utf-8"?>
<comments xmlns="http://schemas.openxmlformats.org/spreadsheetml/2006/main">
  <authors>
    <author>Michael Hutchens</author>
  </authors>
  <commentList>
    <comment ref="C25" authorId="0">
      <text>
        <r>
          <rPr>
            <sz val="8"/>
            <color indexed="81"/>
            <rFont val="Tahoma"/>
            <family val="2"/>
          </rPr>
          <t>EBITDA = Earnings Before Interest, Tax, Depreciation &amp; Amortisation</t>
        </r>
      </text>
    </comment>
    <comment ref="C31" authorId="0">
      <text>
        <r>
          <rPr>
            <sz val="8"/>
            <color indexed="81"/>
            <rFont val="Tahoma"/>
            <family val="2"/>
          </rPr>
          <t>EBIT = Earnings Before Interest &amp; Tax</t>
        </r>
      </text>
    </comment>
    <comment ref="I41" authorId="0">
      <text>
        <r>
          <rPr>
            <b/>
            <sz val="9"/>
            <color indexed="81"/>
            <rFont val="Tahoma"/>
            <family val="2"/>
          </rPr>
          <t xml:space="preserve">Error Check
</t>
        </r>
        <r>
          <rPr>
            <sz val="9"/>
            <color indexed="81"/>
            <rFont val="Tahoma"/>
            <family val="2"/>
          </rPr>
          <t>Flags the existence of errors.</t>
        </r>
      </text>
    </comment>
  </commentList>
</comments>
</file>

<file path=xl/comments8.xml><?xml version="1.0" encoding="utf-8"?>
<comments xmlns="http://schemas.openxmlformats.org/spreadsheetml/2006/main">
  <authors>
    <author>Michael Hutchens</author>
  </authors>
  <commentList>
    <comment ref="I70" authorId="0">
      <text>
        <r>
          <rPr>
            <b/>
            <sz val="9"/>
            <color indexed="81"/>
            <rFont val="Tahoma"/>
            <family val="2"/>
          </rPr>
          <t xml:space="preserve">Error Check
</t>
        </r>
        <r>
          <rPr>
            <sz val="9"/>
            <color indexed="81"/>
            <rFont val="Tahoma"/>
            <family val="2"/>
          </rPr>
          <t>Flags the existence of errors.</t>
        </r>
      </text>
    </comment>
    <comment ref="I72" authorId="0">
      <text>
        <r>
          <rPr>
            <b/>
            <sz val="9"/>
            <color indexed="81"/>
            <rFont val="Tahoma"/>
            <family val="2"/>
          </rPr>
          <t xml:space="preserve">Alert Check
</t>
        </r>
        <r>
          <rPr>
            <sz val="9"/>
            <color indexed="81"/>
            <rFont val="Tahoma"/>
            <family val="2"/>
          </rPr>
          <t>Flags the occurrence of designated events.</t>
        </r>
      </text>
    </comment>
  </commentList>
</comments>
</file>

<file path=xl/comments9.xml><?xml version="1.0" encoding="utf-8"?>
<comments xmlns="http://schemas.openxmlformats.org/spreadsheetml/2006/main">
  <authors>
    <author>Michael Hutchens</author>
  </authors>
  <commentList>
    <comment ref="B91" authorId="0">
      <text>
        <r>
          <rPr>
            <sz val="8"/>
            <color indexed="81"/>
            <rFont val="Tahoma"/>
            <family val="2"/>
          </rPr>
          <t>Reconciliation used for valuation purposes and to determine dividends payable.</t>
        </r>
      </text>
    </comment>
    <comment ref="I114" authorId="0">
      <text>
        <r>
          <rPr>
            <b/>
            <sz val="9"/>
            <color indexed="81"/>
            <rFont val="Tahoma"/>
            <family val="2"/>
          </rPr>
          <t xml:space="preserve">Error Check
</t>
        </r>
        <r>
          <rPr>
            <sz val="9"/>
            <color indexed="81"/>
            <rFont val="Tahoma"/>
            <family val="2"/>
          </rPr>
          <t>Flags the existence of errors.</t>
        </r>
      </text>
    </comment>
  </commentList>
</comments>
</file>

<file path=xl/sharedStrings.xml><?xml version="1.0" encoding="utf-8"?>
<sst xmlns="http://schemas.openxmlformats.org/spreadsheetml/2006/main" count="1193" uniqueCount="602">
  <si>
    <t>Balance Sheet</t>
  </si>
  <si>
    <t>Taxation Rate</t>
  </si>
  <si>
    <t>Corporate Taxation Rate</t>
  </si>
  <si>
    <t>Deferred Tax Assets</t>
  </si>
  <si>
    <t>Deferred Tax Liabilities</t>
  </si>
  <si>
    <t>Net Profit Before Tax (NPBT)</t>
  </si>
  <si>
    <t>Accounting Taxable Profit / (Loss)</t>
  </si>
  <si>
    <t>Tax Expense / (Benefit)</t>
  </si>
  <si>
    <t>Tax Payable</t>
  </si>
  <si>
    <t>Value</t>
  </si>
  <si>
    <t>EBITDA</t>
  </si>
  <si>
    <t>EBIT</t>
  </si>
  <si>
    <t>Net Profit Before Tax</t>
  </si>
  <si>
    <t>Net Profit After Tax</t>
  </si>
  <si>
    <t>Revenues and expenses enter the Income Statement as positive and negative numbers respectively.</t>
  </si>
  <si>
    <t>Cash Flow from Operating Activities</t>
  </si>
  <si>
    <t>Cash Flow from Investing Activities</t>
  </si>
  <si>
    <t>Cash Flow from Financing Activities</t>
  </si>
  <si>
    <t>Net Increase / (Decrease) in Cash Held</t>
  </si>
  <si>
    <t>(Add Back) Tax Expense</t>
  </si>
  <si>
    <t>(Add Back) Total Debt Interest Expense</t>
  </si>
  <si>
    <t>(Add Back) Total Book Depreciation &amp; Amortisation</t>
  </si>
  <si>
    <t>Cash Flow Available To Capital Providers</t>
  </si>
  <si>
    <t>Cash Flow Available to Equity (CFAE)</t>
  </si>
  <si>
    <t>Error Values Detected - Direct Method</t>
  </si>
  <si>
    <t>Cash Flow Summation Check - Direct Method</t>
  </si>
  <si>
    <t>Error Values Detected - Indirect Method</t>
  </si>
  <si>
    <t>Cash Flow Summation Check - Indirect Method</t>
  </si>
  <si>
    <t>Direct vs. Indirect Reconciliation Check</t>
  </si>
  <si>
    <t>CFAE Reconciliation Consistency</t>
  </si>
  <si>
    <t>Current Assets</t>
  </si>
  <si>
    <t>Non-Current Assets</t>
  </si>
  <si>
    <t>Total Assets</t>
  </si>
  <si>
    <t>Current Liabilities</t>
  </si>
  <si>
    <t>Ordinary Equity Dividends Payable</t>
  </si>
  <si>
    <t>Non-Current Liabilities</t>
  </si>
  <si>
    <t>Total Liabilities</t>
  </si>
  <si>
    <t>Net Assets</t>
  </si>
  <si>
    <t>Equity</t>
  </si>
  <si>
    <t>Retained Profits</t>
  </si>
  <si>
    <t>Total Equity</t>
  </si>
  <si>
    <t>Opening Cash</t>
  </si>
  <si>
    <t>Net Change in Cash Held</t>
  </si>
  <si>
    <t>Net Profit During Period</t>
  </si>
  <si>
    <t>Ordinary Equity Dividends Declared</t>
  </si>
  <si>
    <t>Cash Flow Statement</t>
  </si>
  <si>
    <t>Info@bpmglobal.com</t>
  </si>
  <si>
    <t>Income Statement</t>
  </si>
  <si>
    <t>Go to Table of Contents</t>
  </si>
  <si>
    <t>Table of Contents</t>
  </si>
  <si>
    <t>Go to Cover Sheet</t>
  </si>
  <si>
    <t>é</t>
  </si>
  <si>
    <t>Section &amp; Sheet Titles</t>
  </si>
  <si>
    <t>ç</t>
  </si>
  <si>
    <t>Names:</t>
  </si>
  <si>
    <t>Month</t>
  </si>
  <si>
    <t>January</t>
  </si>
  <si>
    <t>February</t>
  </si>
  <si>
    <t>March</t>
  </si>
  <si>
    <t>April</t>
  </si>
  <si>
    <t>May</t>
  </si>
  <si>
    <t>June</t>
  </si>
  <si>
    <t>July</t>
  </si>
  <si>
    <t>August</t>
  </si>
  <si>
    <t>September</t>
  </si>
  <si>
    <t>October</t>
  </si>
  <si>
    <t>November</t>
  </si>
  <si>
    <t>December</t>
  </si>
  <si>
    <t>Quarter</t>
  </si>
  <si>
    <t>Half Year</t>
  </si>
  <si>
    <t>Annual</t>
  </si>
  <si>
    <t>Semi-Annual</t>
  </si>
  <si>
    <t>Quarterly</t>
  </si>
  <si>
    <t>Qtrly</t>
  </si>
  <si>
    <t>Monthly</t>
  </si>
  <si>
    <t>Mthly</t>
  </si>
  <si>
    <t>Year</t>
  </si>
  <si>
    <t>Yr_Name</t>
  </si>
  <si>
    <t>Half_Yr_Name</t>
  </si>
  <si>
    <t>Qtr_Name</t>
  </si>
  <si>
    <t>Mth_Name</t>
  </si>
  <si>
    <t>LU_Pers_In_Yr</t>
  </si>
  <si>
    <t>Yrs_In_Yr</t>
  </si>
  <si>
    <t>Halves_In_Yr</t>
  </si>
  <si>
    <t>Qtrs_In_Yr</t>
  </si>
  <si>
    <t>Mths_In_Yr</t>
  </si>
  <si>
    <t>Yes</t>
  </si>
  <si>
    <t>Denomination</t>
  </si>
  <si>
    <t>LU_Denom</t>
  </si>
  <si>
    <t>$Billions</t>
  </si>
  <si>
    <t>Billions</t>
  </si>
  <si>
    <t>$Millions</t>
  </si>
  <si>
    <t>Millions</t>
  </si>
  <si>
    <t>$'000</t>
  </si>
  <si>
    <t>Thousands</t>
  </si>
  <si>
    <t>$</t>
  </si>
  <si>
    <t>Currency</t>
  </si>
  <si>
    <t>Ten</t>
  </si>
  <si>
    <t>Hundred</t>
  </si>
  <si>
    <t>Thousand</t>
  </si>
  <si>
    <t>Million</t>
  </si>
  <si>
    <t>Billion</t>
  </si>
  <si>
    <t>è</t>
  </si>
  <si>
    <t>SC</t>
  </si>
  <si>
    <t>SSC</t>
  </si>
  <si>
    <t>Formats &amp; Styles Key</t>
  </si>
  <si>
    <t>Color Name</t>
  </si>
  <si>
    <t>Color Description / Purpose</t>
  </si>
  <si>
    <t>Example</t>
  </si>
  <si>
    <t>Hyperlink</t>
  </si>
  <si>
    <t>Hyperlink Type</t>
  </si>
  <si>
    <t>Hyperlink Description / Purpose</t>
  </si>
  <si>
    <t>Cover Hyperlink</t>
  </si>
  <si>
    <t>Links Contents Sheet to Cover Sheet.</t>
  </si>
  <si>
    <t>Home Hyperlink</t>
  </si>
  <si>
    <t>Links worksheets to Contents Sheet.</t>
  </si>
  <si>
    <t>Custom Hyperlink</t>
  </si>
  <si>
    <t>Links worksheet ranges to other worksheet ranges in the model.</t>
  </si>
  <si>
    <t>Linked Cell Text</t>
  </si>
  <si>
    <t>Sheet Top Hyperlink</t>
  </si>
  <si>
    <t>Scrolls worksheet to the upper-most viewable section.</t>
  </si>
  <si>
    <t>Sheet Left Hyperlink</t>
  </si>
  <si>
    <t>Links active worksheet to the previous visible worksheet.</t>
  </si>
  <si>
    <t>Sheet Right Hyperlink</t>
  </si>
  <si>
    <t>Sheet Naming Key</t>
  </si>
  <si>
    <t>Sheet Description / Purpose</t>
  </si>
  <si>
    <t>Indicates the start of a workbook.</t>
  </si>
  <si>
    <t>Section Cover</t>
  </si>
  <si>
    <t>Indicates the start of a workbook section.</t>
  </si>
  <si>
    <t>Sub-Section Cover</t>
  </si>
  <si>
    <t>Indicates the start of a workbook sub-section.</t>
  </si>
  <si>
    <t>Contents*</t>
  </si>
  <si>
    <t>Contains the workbook Table of Contents.</t>
  </si>
  <si>
    <t>Contents</t>
  </si>
  <si>
    <t>Model Schematic</t>
  </si>
  <si>
    <t>Contains model diagrams and flow charts.</t>
  </si>
  <si>
    <t>MS</t>
  </si>
  <si>
    <t>Residual category (contains assumptions).</t>
  </si>
  <si>
    <t>BA</t>
  </si>
  <si>
    <t>Blank Output</t>
  </si>
  <si>
    <t>Residual category (contains outputs).</t>
  </si>
  <si>
    <t>Chart</t>
  </si>
  <si>
    <t>Contains a chart.</t>
  </si>
  <si>
    <t>Cht</t>
  </si>
  <si>
    <t>Model Import**</t>
  </si>
  <si>
    <t>MI</t>
  </si>
  <si>
    <t>Model Export**</t>
  </si>
  <si>
    <t>ME</t>
  </si>
  <si>
    <t>Range Naming Key</t>
  </si>
  <si>
    <t>Range Type / Purpose</t>
  </si>
  <si>
    <t>Range Description / Purpose</t>
  </si>
  <si>
    <t>Prefix</t>
  </si>
  <si>
    <t>Row Array</t>
  </si>
  <si>
    <t>Single row, multiple column, single area array.</t>
  </si>
  <si>
    <t>RA_</t>
  </si>
  <si>
    <t>Column Array</t>
  </si>
  <si>
    <t>Single column, multiple row, single area array.</t>
  </si>
  <si>
    <t>CA_</t>
  </si>
  <si>
    <t>Block Array</t>
  </si>
  <si>
    <t>Single area, multiple cell, non-row, non-column array.</t>
  </si>
  <si>
    <t>BA_</t>
  </si>
  <si>
    <t>Multiple Area Array</t>
  </si>
  <si>
    <t>Multiple area (includes areas of any type).</t>
  </si>
  <si>
    <t>MAA_</t>
  </si>
  <si>
    <t>Base Cell</t>
  </si>
  <si>
    <t>Single cell base cell (for OFFSET function reference, etc).</t>
  </si>
  <si>
    <t>BC_</t>
  </si>
  <si>
    <t>Names a Lookup Table Array on a Lookup Sheet.</t>
  </si>
  <si>
    <t>LU_</t>
  </si>
  <si>
    <t>Hyperlink cell reference.</t>
  </si>
  <si>
    <t>HL_</t>
  </si>
  <si>
    <t>Check box cell link.</t>
  </si>
  <si>
    <t>CB_</t>
  </si>
  <si>
    <t>Drop down box cell link.</t>
  </si>
  <si>
    <t>DD_</t>
  </si>
  <si>
    <t>List box cell link.</t>
  </si>
  <si>
    <t>LB_</t>
  </si>
  <si>
    <t>Option button cell link.</t>
  </si>
  <si>
    <t>OB_</t>
  </si>
  <si>
    <t>Spin button cell link.</t>
  </si>
  <si>
    <t>S_</t>
  </si>
  <si>
    <t>Scroll bar cell link.</t>
  </si>
  <si>
    <t>SB_</t>
  </si>
  <si>
    <t>Residual</t>
  </si>
  <si>
    <t>Residual category (i.e. single cell non-base cells, etc).</t>
  </si>
  <si>
    <t>No Prefix</t>
  </si>
  <si>
    <t>First Period End Date</t>
  </si>
  <si>
    <t>Primary</t>
  </si>
  <si>
    <t>Appendices</t>
  </si>
  <si>
    <t>Checks</t>
  </si>
  <si>
    <t>Lookup Tables</t>
  </si>
  <si>
    <t>Section 1.</t>
  </si>
  <si>
    <t>Sub-Section 1.1.</t>
  </si>
  <si>
    <t>1.1.</t>
  </si>
  <si>
    <t>a.</t>
  </si>
  <si>
    <t>b.</t>
  </si>
  <si>
    <t>c.</t>
  </si>
  <si>
    <t>Sub-Section 1.2.</t>
  </si>
  <si>
    <t>1.2.</t>
  </si>
  <si>
    <t>Section 2.</t>
  </si>
  <si>
    <t>Section 3.</t>
  </si>
  <si>
    <t>Section 4.</t>
  </si>
  <si>
    <t>-</t>
  </si>
  <si>
    <t>Notes</t>
  </si>
  <si>
    <t>Contains general notes about the purpose and use of this model.</t>
  </si>
  <si>
    <t>x</t>
  </si>
  <si>
    <t>h</t>
  </si>
  <si>
    <t>O</t>
  </si>
  <si>
    <t>Area:</t>
  </si>
  <si>
    <t>General</t>
  </si>
  <si>
    <t>Intended Audience</t>
  </si>
  <si>
    <t>This model has been developed for those who:</t>
  </si>
  <si>
    <t>Simplification</t>
  </si>
  <si>
    <t>Standards</t>
  </si>
  <si>
    <t>Annotations</t>
  </si>
  <si>
    <t>Contact BPM</t>
  </si>
  <si>
    <t>Email:</t>
  </si>
  <si>
    <t>Website:</t>
  </si>
  <si>
    <t>Downloads:</t>
  </si>
  <si>
    <t>Financial Year</t>
  </si>
  <si>
    <t>Financial Year Period</t>
  </si>
  <si>
    <t>Period Start Date (From Start of Day...)</t>
  </si>
  <si>
    <t>Period End Date (Until End of Day...)</t>
  </si>
  <si>
    <t>Counter</t>
  </si>
  <si>
    <t>Revenue</t>
  </si>
  <si>
    <t>Error Checks</t>
  </si>
  <si>
    <t>Errors Detected - Summary</t>
  </si>
  <si>
    <t>Check</t>
  </si>
  <si>
    <t>Include?</t>
  </si>
  <si>
    <t>Error Message (Empty if None):</t>
  </si>
  <si>
    <t>Sensitivity Checks</t>
  </si>
  <si>
    <t>Sensitivities Detected - Summary</t>
  </si>
  <si>
    <t>Sensitivity Message (Empty if None):</t>
  </si>
  <si>
    <t>Alert Checks</t>
  </si>
  <si>
    <t>Alerts Detected - Summary</t>
  </si>
  <si>
    <t>Alert Message (Empty if None):</t>
  </si>
  <si>
    <t>Operating Expenditure</t>
  </si>
  <si>
    <t>Capital Expenditure</t>
  </si>
  <si>
    <t>Cash Receipts</t>
  </si>
  <si>
    <t>Error Values Detected</t>
  </si>
  <si>
    <t>Error in Balancing of Components</t>
  </si>
  <si>
    <t>Positive Cash Receipts Error</t>
  </si>
  <si>
    <t>Negative Closing Balance Error</t>
  </si>
  <si>
    <t>Cash Payments</t>
  </si>
  <si>
    <t>Positive Cash Payments Error</t>
  </si>
  <si>
    <t>Opening Balance</t>
  </si>
  <si>
    <t>Debt Drawdowns</t>
  </si>
  <si>
    <t>Debt Repayments</t>
  </si>
  <si>
    <t>Closing Debt Balance</t>
  </si>
  <si>
    <t>Drawdowns/Repayments % into Period</t>
  </si>
  <si>
    <t>Interest Expense</t>
  </si>
  <si>
    <t>Base Interest Rate (% p.a.)</t>
  </si>
  <si>
    <t>Margin (% p.a.)</t>
  </si>
  <si>
    <t>All-In Interest Rate (% p.a.)</t>
  </si>
  <si>
    <t>Debt</t>
  </si>
  <si>
    <t>Period % of Full Year</t>
  </si>
  <si>
    <t>Average Debt Outstanding</t>
  </si>
  <si>
    <t>Interest Paid</t>
  </si>
  <si>
    <t>Closing Interest Payable</t>
  </si>
  <si>
    <t>Dividend Method Lookup</t>
  </si>
  <si>
    <t>Dividend Method</t>
  </si>
  <si>
    <t>LU_Eq_Ord_Div_Meth</t>
  </si>
  <si>
    <t>% of NPAT</t>
  </si>
  <si>
    <t>Assume Dividend Amounts</t>
  </si>
  <si>
    <t>Equity Raisings</t>
  </si>
  <si>
    <t>Equity Repayments</t>
  </si>
  <si>
    <t>Closing Ordinary Equity</t>
  </si>
  <si>
    <t>Dividends Payable &amp; Paid</t>
  </si>
  <si>
    <t>Dividend Declaration Period?</t>
  </si>
  <si>
    <t>Dividends cannot be negative.</t>
  </si>
  <si>
    <t>Dividends cannot exceed accumulated Retained Profits (Opening Retained Profits + Net Profit After Tax) in any period.</t>
  </si>
  <si>
    <t>Ordinary Equity</t>
  </si>
  <si>
    <t>Dividends Declared During Period</t>
  </si>
  <si>
    <t>Dividends Paid During Period</t>
  </si>
  <si>
    <t>Closing Dividends Payable</t>
  </si>
  <si>
    <t>Error in Ordinary Equity Balances</t>
  </si>
  <si>
    <t>Error in Dividends Payable Balances</t>
  </si>
  <si>
    <t>Opening Retained Profits</t>
  </si>
  <si>
    <t>Net Profit After Tax (NPAT)</t>
  </si>
  <si>
    <t>Opening Cash at Bank</t>
  </si>
  <si>
    <t>Cash Flow Available for Dividends</t>
  </si>
  <si>
    <t>Maximum Dividends Allowed</t>
  </si>
  <si>
    <t>Total Available Cash For Dividends</t>
  </si>
  <si>
    <t>Target Dividends Declared</t>
  </si>
  <si>
    <t>Actual Dividends Declared</t>
  </si>
  <si>
    <t>Contains notes explaining the purpose and use of this model and where more help can be obtained.</t>
  </si>
  <si>
    <t>Contains diagrams summarising designated components of the model.</t>
  </si>
  <si>
    <t>Contains Formats &amp; Styles, Sheet Naming and Range Naming Keys explaining the approaches adopted throughout this model.</t>
  </si>
  <si>
    <t>Primary Developer:  BPM</t>
  </si>
  <si>
    <t>Applied Theme</t>
  </si>
  <si>
    <t>Brief notes have been included throughout the Section Cover Sheets and Assumption Sheets within this workbook. These notes have been included in accordance with Best Practice and are not designed to provide detailed insight into how this model was developed or how it could be improved or enhanced.</t>
  </si>
  <si>
    <r>
      <t xml:space="preserve">To order the </t>
    </r>
    <r>
      <rPr>
        <b/>
        <sz val="8"/>
        <color indexed="60"/>
        <rFont val="Tahoma"/>
        <family val="2"/>
        <scheme val="major"/>
      </rPr>
      <t>Best Practice Spreadsheet Modelling Standards</t>
    </r>
    <r>
      <rPr>
        <sz val="8"/>
        <color indexed="60"/>
        <rFont val="Tahoma"/>
        <family val="2"/>
        <scheme val="major"/>
      </rPr>
      <t>, go to:</t>
    </r>
  </si>
  <si>
    <t>[Insert section cover note 1]</t>
  </si>
  <si>
    <t>[Insert section cover note 2]</t>
  </si>
  <si>
    <t>[Insert section cover note 3]</t>
  </si>
  <si>
    <t>Overview</t>
  </si>
  <si>
    <t>Also contains keys explaining the Formats &amp; Styles, Sheet Naming &amp; Range Naming principles used in this model.</t>
  </si>
  <si>
    <t>Also contains contact details for BPM.</t>
  </si>
  <si>
    <t>Accounts Receivable</t>
  </si>
  <si>
    <t>Accounts Payable</t>
  </si>
  <si>
    <t>Keys</t>
  </si>
  <si>
    <t>Font Colors</t>
  </si>
  <si>
    <t>Fill Colors</t>
  </si>
  <si>
    <t>Go To Cover Sheet</t>
  </si>
  <si>
    <t>Go To Table of Contents</t>
  </si>
  <si>
    <t>Links active worksheet to the next visible worksheet.</t>
  </si>
  <si>
    <t>Base Sheet Type</t>
  </si>
  <si>
    <t>Suffix</t>
  </si>
  <si>
    <t>Cover*</t>
  </si>
  <si>
    <t>Cover</t>
  </si>
  <si>
    <t>Blank Assumption</t>
  </si>
  <si>
    <t>Time Series Assumption</t>
  </si>
  <si>
    <t>Contains time series titles for entering assumptions over a set time frame.</t>
  </si>
  <si>
    <t>TA</t>
  </si>
  <si>
    <t>Time Series Output</t>
  </si>
  <si>
    <t>Contains time series titles for calculating outputs over a set time frame.</t>
  </si>
  <si>
    <t>TO</t>
  </si>
  <si>
    <t>Lookup</t>
  </si>
  <si>
    <t>Contains lookup data for use in forms / controls and in worksheet formulas.</t>
  </si>
  <si>
    <t>LU</t>
  </si>
  <si>
    <t>Contains formulas that reference worksheet ranges in another workbook.</t>
  </si>
  <si>
    <t>Contains worksheet ranges that are referenced by formulas in another workbook.</t>
  </si>
  <si>
    <t>* The names of the Cover and Contents sheets are always "Cover" and "Contents" respectively.</t>
  </si>
  <si>
    <t>Check Box</t>
  </si>
  <si>
    <t>Drop Down Box</t>
  </si>
  <si>
    <t>List Box</t>
  </si>
  <si>
    <t>Option Button</t>
  </si>
  <si>
    <t>Spin Button</t>
  </si>
  <si>
    <t>Scroll Bar</t>
  </si>
  <si>
    <t>Time Series Assumptions</t>
  </si>
  <si>
    <t>Names</t>
  </si>
  <si>
    <t>Time Series Lookup Tables</t>
  </si>
  <si>
    <t>Month Days</t>
  </si>
  <si>
    <t>LU_Mth_Days</t>
  </si>
  <si>
    <t>Month Names</t>
  </si>
  <si>
    <t>LU_Mth_Names</t>
  </si>
  <si>
    <t>Data Term Basis</t>
  </si>
  <si>
    <t>LU_Data_Term_Basis</t>
  </si>
  <si>
    <t>Active Data Periods</t>
  </si>
  <si>
    <t>Projections Start</t>
  </si>
  <si>
    <t>Periodicity</t>
  </si>
  <si>
    <t>LU_Periodicity</t>
  </si>
  <si>
    <t>Semi_Annual</t>
  </si>
  <si>
    <t>Period Type Names</t>
  </si>
  <si>
    <t>LU_Period_Type_Names</t>
  </si>
  <si>
    <t>Periods In Year</t>
  </si>
  <si>
    <t>Conversion Factors</t>
  </si>
  <si>
    <t>Core Time Series Assumptions</t>
  </si>
  <si>
    <t>Title</t>
  </si>
  <si>
    <t>Financial Year End</t>
  </si>
  <si>
    <t>Start Date</t>
  </si>
  <si>
    <t>Periods</t>
  </si>
  <si>
    <t>Period Type</t>
  </si>
  <si>
    <t>Period Type Prefix</t>
  </si>
  <si>
    <t>Financial Year End Is Month End?</t>
  </si>
  <si>
    <t>First Period Financial Year Start Date</t>
  </si>
  <si>
    <t>First Period Financial Year End Date</t>
  </si>
  <si>
    <t>Months In Period</t>
  </si>
  <si>
    <t>First Period Financial Period Number</t>
  </si>
  <si>
    <t>First Period Start Date (If Full Period)</t>
  </si>
  <si>
    <t>Denomination Label</t>
  </si>
  <si>
    <t>Historical &amp; Forecast Period Titles</t>
  </si>
  <si>
    <t>Include in Period Titles?</t>
  </si>
  <si>
    <t>Actual Periods</t>
  </si>
  <si>
    <t>Budget Periods</t>
  </si>
  <si>
    <t>Historical / Actual Periods Title</t>
  </si>
  <si>
    <t>Budget Periods Title</t>
  </si>
  <si>
    <t>Forecast Period Title</t>
  </si>
  <si>
    <t>Data &amp; Projections - Timing Assumptions</t>
  </si>
  <si>
    <t>Data - Active Periods</t>
  </si>
  <si>
    <t>Projections - Start Date</t>
  </si>
  <si>
    <t>Data Time Series Sheets</t>
  </si>
  <si>
    <t>Data End Date</t>
  </si>
  <si>
    <t>Total Data Periods</t>
  </si>
  <si>
    <t>Full Data Periods</t>
  </si>
  <si>
    <t>Final Data Period Is Stub</t>
  </si>
  <si>
    <t>Projections Time Series Sheets</t>
  </si>
  <si>
    <t>Projections Start Date</t>
  </si>
  <si>
    <t>A Financial Year End assumption of 28th of February is assumed to be a month end financial year end, even in a leap year.</t>
  </si>
  <si>
    <t>The "Model Denomination" assumption will not necessarily automatically change the denomination of the outputs of this model.</t>
  </si>
  <si>
    <t>A "Budget Period" refers to either a period in the current financial year or periods containing combined actual and forecast data.</t>
  </si>
  <si>
    <t>"Data &amp; Projections - Timing Assumptions" are used as the basis for related data and projections time series sheets.</t>
  </si>
  <si>
    <t>"Inactive Columns Treatment" will only be operative if macros have been included in the active workbook to manage inactive data and projections columns.</t>
  </si>
  <si>
    <t>(A)</t>
  </si>
  <si>
    <t>(B)</t>
  </si>
  <si>
    <t>(F)</t>
  </si>
  <si>
    <t>Contains base case assumptions used to generate the base case outputs.</t>
  </si>
  <si>
    <t>Period Key</t>
  </si>
  <si>
    <t>Flag</t>
  </si>
  <si>
    <t>Total Errors:</t>
  </si>
  <si>
    <t>Total Sensitivities:</t>
  </si>
  <si>
    <t>Total Alerts:</t>
  </si>
  <si>
    <t>Contains base case outputs - i.e. includes only the impacts of base case assumptions.</t>
  </si>
  <si>
    <t>Contains model checks and lookup tables.</t>
  </si>
  <si>
    <t>Contains model lookup tables.</t>
  </si>
  <si>
    <t>Capital - Lookup Tables</t>
  </si>
  <si>
    <t>Assumptions</t>
  </si>
  <si>
    <t>Outputs</t>
  </si>
  <si>
    <t>Operational - Outputs</t>
  </si>
  <si>
    <t>Assets - Outputs</t>
  </si>
  <si>
    <t>Capital - Outputs</t>
  </si>
  <si>
    <t>Operational - Assumptions</t>
  </si>
  <si>
    <t>Working Capital - Assumptions</t>
  </si>
  <si>
    <t>Assets - Assumptions</t>
  </si>
  <si>
    <t>Capital - Assumptions</t>
  </si>
  <si>
    <t>Taxation - Assumptions</t>
  </si>
  <si>
    <t>Model Notes</t>
  </si>
  <si>
    <t>Debtors Days</t>
  </si>
  <si>
    <t>Creditors Days</t>
  </si>
  <si>
    <t>Closing Balance</t>
  </si>
  <si>
    <t>Total Error Checks Result</t>
  </si>
  <si>
    <t>Working Capital - Outputs</t>
  </si>
  <si>
    <t>Error Check</t>
  </si>
  <si>
    <t>Depreciation</t>
  </si>
  <si>
    <t>Total Error Check Result</t>
  </si>
  <si>
    <t>Ordinary Equity - Outputs</t>
  </si>
  <si>
    <t>The Corporate Taxation Rate is limited to a minimum of 0% and a maximum of 100%.</t>
  </si>
  <si>
    <t>Taxation - Output Summary</t>
  </si>
  <si>
    <t>Balance Check</t>
  </si>
  <si>
    <t>Alert Check (Negative Cash)</t>
  </si>
  <si>
    <t>Decrease in Accounts Receivable</t>
  </si>
  <si>
    <t>Increase in Accounts Payable</t>
  </si>
  <si>
    <t>Dividends Payable &amp; Paid - Calculation</t>
  </si>
  <si>
    <t>Alert Check (Limited Dividends)</t>
  </si>
  <si>
    <t>Direct Cash Flow Statement</t>
  </si>
  <si>
    <t>Indirect Cash Flow Statement</t>
  </si>
  <si>
    <t>Capital Providers - Cash Flow Reconciliation</t>
  </si>
  <si>
    <t>Dashboard Outputs</t>
  </si>
  <si>
    <t>Contains dashboard-style presentation output sheets.</t>
  </si>
  <si>
    <t>[Insert Tile 2 Heading]</t>
  </si>
  <si>
    <t>[Insert Tile 4 Heading]</t>
  </si>
  <si>
    <t>[Insert Tile 6 Heading]</t>
  </si>
  <si>
    <t>Business Planning Summary</t>
  </si>
  <si>
    <t>Operating Cash Flows</t>
  </si>
  <si>
    <t>Investing Cash Flows</t>
  </si>
  <si>
    <t>Debt Drawdowns/(Repayments)</t>
  </si>
  <si>
    <t>Equity Drawdowns/(Repayments)</t>
  </si>
  <si>
    <t>Equity Dividends Paid</t>
  </si>
  <si>
    <t>Financing Cash Flows</t>
  </si>
  <si>
    <t>Other Operating Cash Flows</t>
  </si>
  <si>
    <t>Net Increase/(Decrease) in Cash Held</t>
  </si>
  <si>
    <t>Chart 1 Data</t>
  </si>
  <si>
    <t>Chart 2 Data</t>
  </si>
  <si>
    <t>Dashboards - Lookup Tables</t>
  </si>
  <si>
    <t>Selected Period</t>
  </si>
  <si>
    <t>Selected Period Lookup</t>
  </si>
  <si>
    <t>Dashboard Lookup Tables</t>
  </si>
  <si>
    <t>LU_Dashboard_Selected_Period</t>
  </si>
  <si>
    <t>Chart 3 Data</t>
  </si>
  <si>
    <t>Chart 4 Data</t>
  </si>
  <si>
    <t>Change
(+/-)</t>
  </si>
  <si>
    <t>Invisible Column</t>
  </si>
  <si>
    <t>Visible Column</t>
  </si>
  <si>
    <t>Total
Value</t>
  </si>
  <si>
    <t>Graph Inputs</t>
  </si>
  <si>
    <t>Assets</t>
  </si>
  <si>
    <t>Liabilities</t>
  </si>
  <si>
    <t>Best Practice Modelling</t>
  </si>
  <si>
    <t>For more information see:</t>
  </si>
  <si>
    <t>Cover Notes</t>
  </si>
  <si>
    <t>Section Cover Notes</t>
  </si>
  <si>
    <t>Sub-Section Cover Notes</t>
  </si>
  <si>
    <t>Cost of Goods Sold</t>
  </si>
  <si>
    <t>Revenue and expense assumptions are entered as positive numbers.</t>
  </si>
  <si>
    <t>Debtors/creditors days assumptions cannot be greater than the number of days in that period.</t>
  </si>
  <si>
    <t>Costs</t>
  </si>
  <si>
    <t>Capital Expenditure - Assets</t>
  </si>
  <si>
    <t>Capital Expenditure - Intangibles</t>
  </si>
  <si>
    <t>Depreciation - % of Capital Expenditure</t>
  </si>
  <si>
    <t>Amortization - % of Capital Expenditure</t>
  </si>
  <si>
    <t>Amortization</t>
  </si>
  <si>
    <t>Gross Margin</t>
  </si>
  <si>
    <t>Depreciation &amp; Amortization</t>
  </si>
  <si>
    <t>Intangibles</t>
  </si>
  <si>
    <t>Debt - Outputs</t>
  </si>
  <si>
    <t>Tax is assumed to be paid in the period after tax expense is incurred.</t>
  </si>
  <si>
    <t>Tax Paid</t>
  </si>
  <si>
    <t>Tax calculations do not allow for tax losses, deferred tax assets or deferred tax liabilities - i.e. negative tax expense will result in cash tax receipts.</t>
  </si>
  <si>
    <t>Debt Interest Payable</t>
  </si>
  <si>
    <t>Movement in Accounts Receivable</t>
  </si>
  <si>
    <t>Movement in Accounts Payable</t>
  </si>
  <si>
    <t>Other Current Assets</t>
  </si>
  <si>
    <t>Other Current Liabilities</t>
  </si>
  <si>
    <t>Other Non-Current Assets</t>
  </si>
  <si>
    <t>Other Non-Current Liabilities</t>
  </si>
  <si>
    <t>Other Current Assets and Other Current Liabilities assumed to impact Other Operating Cash Flows.</t>
  </si>
  <si>
    <t>Other Non-Current Assets and Non-Other Current Liabilities assumed to impact Other Investing Cash Flows.</t>
  </si>
  <si>
    <t>Cash at Bank</t>
  </si>
  <si>
    <t>Error Values Check</t>
  </si>
  <si>
    <t>Tax Payable (&amp; Paid)</t>
  </si>
  <si>
    <t>Other Balance Sheet Items - Outputs</t>
  </si>
  <si>
    <t>Movement</t>
  </si>
  <si>
    <t>Decrease in Other Current Assets</t>
  </si>
  <si>
    <t>Increase in Other Current Liabilities</t>
  </si>
  <si>
    <t>Decrease in Other Non-Current Assets</t>
  </si>
  <si>
    <t>Increase in Other Non-Current Liabilities</t>
  </si>
  <si>
    <t>EBITDA Breakdown</t>
  </si>
  <si>
    <t>Other Investing Cash Flows</t>
  </si>
  <si>
    <t>Sub-Section Cover Notes:</t>
  </si>
  <si>
    <t>Contains assumptions used to drive the time series analysis within the model.</t>
  </si>
  <si>
    <t>Forecast Assumptions</t>
  </si>
  <si>
    <t>Contains forecast assumptions for all areas within the underlying business.</t>
  </si>
  <si>
    <t>Forecast Outputs</t>
  </si>
  <si>
    <t>Contains forecast outputs for all areas within the underlying business other than financial statements.</t>
  </si>
  <si>
    <t>Sub-Section 2.1.</t>
  </si>
  <si>
    <t>2.1.</t>
  </si>
  <si>
    <t>Sub-Section 2.2.</t>
  </si>
  <si>
    <t>2.2.</t>
  </si>
  <si>
    <t>Sub-Section 3.1.</t>
  </si>
  <si>
    <t>3.1.</t>
  </si>
  <si>
    <t>Sub-Section 3.2.</t>
  </si>
  <si>
    <t>3.2.</t>
  </si>
  <si>
    <t>Sub-Section 3.3.</t>
  </si>
  <si>
    <t>3.3.</t>
  </si>
  <si>
    <t>Sub-Section 4.1.</t>
  </si>
  <si>
    <t>4.1.</t>
  </si>
  <si>
    <t>Sub-Section 4.2.</t>
  </si>
  <si>
    <t>4.2.</t>
  </si>
  <si>
    <t xml:space="preserve">Many components of this model have been significantly simplified to prevent confusion.  </t>
  </si>
  <si>
    <t xml:space="preserve">    - Are currently trialing bpmToolbox; or</t>
  </si>
  <si>
    <t xml:space="preserve">    - Are interested in understanding the benefits of using bpmToolbox.</t>
  </si>
  <si>
    <t>Contains historical financial statement assumptions.</t>
  </si>
  <si>
    <t>Sub-Section 2.3.</t>
  </si>
  <si>
    <t>2.3.</t>
  </si>
  <si>
    <t>Income Statement - Historical Assumptions</t>
  </si>
  <si>
    <t>Balance Sheet - Historical Assumptions</t>
  </si>
  <si>
    <t>Revenue and expense assumptions are entered as positive and negative numbers respectively.</t>
  </si>
  <si>
    <t>Negative Cash</t>
  </si>
  <si>
    <t>Balancing Item Used</t>
  </si>
  <si>
    <t>Total Alert Check Result</t>
  </si>
  <si>
    <t>Opening</t>
  </si>
  <si>
    <t>Retained Profits - Unadjusted</t>
  </si>
  <si>
    <t>Retained Profits - Balancing Item</t>
  </si>
  <si>
    <t>Historical Assumptions</t>
  </si>
  <si>
    <t>Historical Outputs</t>
  </si>
  <si>
    <t>Contains historical financial statement outputs.</t>
  </si>
  <si>
    <t>Income Statement - Historical Outputs</t>
  </si>
  <si>
    <t>Balance Sheet - Historical Outputs</t>
  </si>
  <si>
    <t>Cash Flow Statement - Historical Outputs</t>
  </si>
  <si>
    <t>Revenues and expenses appear as positive and negative numbers respectively.</t>
  </si>
  <si>
    <t>Interest Payable</t>
  </si>
  <si>
    <t>Determination Method:</t>
  </si>
  <si>
    <t>Income Statement - Forecast Outputs</t>
  </si>
  <si>
    <t>Balance Sheet - Forecast Outputs</t>
  </si>
  <si>
    <t>Cash Flow Statement - Forecast Outputs</t>
  </si>
  <si>
    <t>Other Balance Sheet Items</t>
  </si>
  <si>
    <t>Sub-Section 3.4.</t>
  </si>
  <si>
    <t>3.4.</t>
  </si>
  <si>
    <t>All Periods Outputs</t>
  </si>
  <si>
    <t>Contains the Income Statement, Balance Sheet and Cash Flow Statement for all periods.</t>
  </si>
  <si>
    <t>d.</t>
  </si>
  <si>
    <t>Balance Sheet - All Periods Outputs</t>
  </si>
  <si>
    <t>Income Statement - All Periods Outputs</t>
  </si>
  <si>
    <t>Cash Flow Statement - All Periods Outputs</t>
  </si>
  <si>
    <t>Historical Balancing Item</t>
  </si>
  <si>
    <t>Change in Cash at Bank</t>
  </si>
  <si>
    <t>Other Equity</t>
  </si>
  <si>
    <t>Other Equity is assumed to impact Other Financing Cash Flows.</t>
  </si>
  <si>
    <t>Increase in Other Equity</t>
  </si>
  <si>
    <t>Movements in Retained Profits</t>
  </si>
  <si>
    <t>Historical Movement</t>
  </si>
  <si>
    <t>Forecast Net Profit During Period</t>
  </si>
  <si>
    <t>Forecast Dividends Declared</t>
  </si>
  <si>
    <t>Error Values</t>
  </si>
  <si>
    <t>Balance</t>
  </si>
  <si>
    <t>Other Equity Cash Flows</t>
  </si>
  <si>
    <t>Chart 5 Data</t>
  </si>
  <si>
    <t>Other Balance Sheet Items - Assumptions</t>
  </si>
  <si>
    <t xml:space="preserve">  Page  </t>
  </si>
  <si>
    <t>Total Pages:</t>
  </si>
  <si>
    <r>
      <rPr>
        <u/>
        <sz val="8"/>
        <color indexed="60"/>
        <rFont val="Tahoma"/>
        <family val="2"/>
      </rPr>
      <t>Subscribe to the Best Practice Modelling Network</t>
    </r>
    <r>
      <rPr>
        <sz val="8"/>
        <color indexed="60"/>
        <rFont val="Tahoma"/>
        <family val="2"/>
        <scheme val="major"/>
      </rPr>
      <t xml:space="preserve"> to be notified of new best practice example models.</t>
    </r>
  </si>
  <si>
    <t>This is a simple example of a best practice historical and forecast business planning model.</t>
  </si>
  <si>
    <t>www.bestpracticemodelling.com</t>
  </si>
  <si>
    <t>To navigate or view the content of this model, click on the 'Go to Table of Contents' hyperlink above.</t>
  </si>
  <si>
    <t>www.bestpracticemodelling.com/downloads/standards</t>
  </si>
  <si>
    <r>
      <t xml:space="preserve">Use of this model is subject to the </t>
    </r>
    <r>
      <rPr>
        <u/>
        <sz val="8"/>
        <color indexed="60"/>
        <rFont val="Tahoma"/>
        <family val="2"/>
      </rPr>
      <t>training model terms and conditions</t>
    </r>
    <r>
      <rPr>
        <sz val="8"/>
        <color indexed="60"/>
        <rFont val="Tahoma"/>
        <family val="2"/>
        <scheme val="major"/>
      </rPr>
      <t xml:space="preserve"> on the Best Practice Modelling website.</t>
    </r>
  </si>
  <si>
    <t>This model has been designed to provide an example of how bpmToolbox can be used within Microsoft Excel to efficiently build a basic historical and forecast business planning model in strict accordance with the Best Practice Spreadsheet Modelling Standards &amp; Conventions.</t>
  </si>
  <si>
    <t xml:space="preserve">    - Have purchased bpmToolbox;</t>
  </si>
  <si>
    <t>This model has been built in accordance with the Best Practice Spreadsheet Modelling Standards.</t>
  </si>
  <si>
    <t>This workbook has been built using the bpmToolbox default theme - i.e. Styles, Colors, Page Setups, etc. These settings may differ from your personal or corporate theme settings.</t>
  </si>
  <si>
    <t>The purpose of this model is to provide an example of a historical and forecast business planning model developed using bpmToolbox in accordance with the Best Practice Spreadsheet Modelling Standards.</t>
  </si>
  <si>
    <t>Cash Flow Statement - Historical Assumptions</t>
  </si>
  <si>
    <t>Constant</t>
  </si>
  <si>
    <t>Indicates ranges contain 100% constant (e.g. text/numbers).</t>
  </si>
  <si>
    <t>Formula</t>
  </si>
  <si>
    <t>Indicates ranges contain pure formulas / output calculations.</t>
  </si>
  <si>
    <t>Mixed</t>
  </si>
  <si>
    <t>Indicates ranges contain a mixture of formulas and constants (e.g. formulas that contain embedded text or numbers).</t>
  </si>
  <si>
    <t>Indicates operative checks – normally used as a conditional format.</t>
  </si>
  <si>
    <t>Indicates ranges contain hyperlinks to other ranges within the workbook or to other linked models.</t>
  </si>
  <si>
    <t>Color A</t>
  </si>
  <si>
    <t>Used to distinguish assumption sheets and/or cells.</t>
  </si>
  <si>
    <t>Work In Progress</t>
  </si>
  <si>
    <t>Indicates ranges contain data or formulas that remain uncertain or are subject to change.</t>
  </si>
  <si>
    <t>Color B</t>
  </si>
  <si>
    <t>Used to distinguish assumption sheets and/or cells. May also be used for a custom purpose.</t>
  </si>
  <si>
    <t>Presentation**</t>
  </si>
  <si>
    <t>Contains presentation outputs that are exempt from the requirements of the best practice modelling standards and conventions.</t>
  </si>
  <si>
    <t>P</t>
  </si>
  <si>
    <t>Notes:</t>
  </si>
  <si>
    <t>** Model Import, Model Export and Presentation Sheet suffixes are used in addition to the other sheet naming suffixes.</t>
  </si>
  <si>
    <t>BO</t>
  </si>
</sst>
</file>

<file path=xl/styles.xml><?xml version="1.0" encoding="utf-8"?>
<styleSheet xmlns="http://schemas.openxmlformats.org/spreadsheetml/2006/main">
  <numFmts count="18">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0.0_);\(#,##0.0\);_(&quot;-&quot;_)"/>
    <numFmt numFmtId="169" formatCode="_(#,##0.0%_);\(#,##0.0%\);_(&quot;-&quot;_)"/>
    <numFmt numFmtId="170" formatCode="_(#,##0.0\x_);\(#,##0.0\x\);_(&quot;-&quot;_)"/>
    <numFmt numFmtId="171" formatCode="_(&quot;$&quot;#,##0.0_);\(&quot;$&quot;#,##0.0\);_(&quot;-&quot;_)"/>
    <numFmt numFmtId="172" formatCode="_(#,##0_);\(#,##0\);_(&quot;-&quot;_)"/>
    <numFmt numFmtId="173" formatCode="#,##0."/>
    <numFmt numFmtId="174" formatCode="_(#,##0.00%_);\(#,##0.00%\);_(&quot;-&quot;_)"/>
    <numFmt numFmtId="175" formatCode="_(#,##0_);\(#,##0\);_(#,##0_)"/>
    <numFmt numFmtId="176" formatCode="_(#,##0_);\(#,##0\);_-&quot;-&quot;_-"/>
    <numFmt numFmtId="177" formatCode="_(###0_);\(###0\);_(&quot;-&quot;_)"/>
    <numFmt numFmtId="178" formatCode="_)d\-mmm\-yy_);_)d\-mmm\-yy_);_)&quot;-&quot;_)"/>
    <numFmt numFmtId="179" formatCode="_(#,##0._);\(#,##0\);_(&quot;-&quot;_)"/>
    <numFmt numFmtId="180" formatCode="#,##0.0"/>
    <numFmt numFmtId="181" formatCode="#,##0.0000000000000"/>
  </numFmts>
  <fonts count="82">
    <font>
      <sz val="8"/>
      <name val="Tahoma"/>
      <family val="2"/>
      <scheme val="minor"/>
    </font>
    <font>
      <sz val="8"/>
      <name val="Arial"/>
      <family val="2"/>
    </font>
    <font>
      <b/>
      <sz val="10"/>
      <name val="Arial"/>
      <family val="2"/>
    </font>
    <font>
      <b/>
      <sz val="9"/>
      <name val="Arial"/>
      <family val="2"/>
    </font>
    <font>
      <b/>
      <sz val="8"/>
      <name val="Arial"/>
      <family val="2"/>
    </font>
    <font>
      <b/>
      <sz val="10"/>
      <color indexed="56"/>
      <name val="Wingdings"/>
      <charset val="2"/>
    </font>
    <font>
      <b/>
      <sz val="8"/>
      <color indexed="60"/>
      <name val="Arial"/>
      <family val="2"/>
    </font>
    <font>
      <sz val="8"/>
      <color indexed="60"/>
      <name val="Arial"/>
      <family val="2"/>
    </font>
    <font>
      <u/>
      <sz val="8"/>
      <color indexed="12"/>
      <name val="Arial"/>
      <family val="2"/>
    </font>
    <font>
      <b/>
      <sz val="9"/>
      <color indexed="60"/>
      <name val="Arial"/>
      <family val="2"/>
    </font>
    <font>
      <sz val="8"/>
      <name val="Tahoma"/>
      <family val="2"/>
    </font>
    <font>
      <u/>
      <sz val="8"/>
      <color indexed="36"/>
      <name val="Arial"/>
      <family val="2"/>
    </font>
    <font>
      <b/>
      <sz val="10"/>
      <color indexed="59"/>
      <name val="Arial"/>
      <family val="2"/>
    </font>
    <font>
      <b/>
      <u/>
      <sz val="8"/>
      <color indexed="56"/>
      <name val="Tahoma"/>
      <family val="2"/>
    </font>
    <font>
      <sz val="8"/>
      <color indexed="56"/>
      <name val="Tahoma"/>
      <family val="2"/>
    </font>
    <font>
      <b/>
      <sz val="18"/>
      <color theme="3"/>
      <name val="Tahoma"/>
      <family val="2"/>
      <scheme val="major"/>
    </font>
    <font>
      <sz val="8"/>
      <color rgb="FF006100"/>
      <name val="Tahoma"/>
      <family val="2"/>
    </font>
    <font>
      <sz val="8"/>
      <color rgb="FF9C0006"/>
      <name val="Tahoma"/>
      <family val="2"/>
    </font>
    <font>
      <sz val="8"/>
      <color rgb="FF9C6500"/>
      <name val="Tahoma"/>
      <family val="2"/>
    </font>
    <font>
      <sz val="8"/>
      <color rgb="FF3F3F76"/>
      <name val="Tahoma"/>
      <family val="2"/>
    </font>
    <font>
      <b/>
      <sz val="8"/>
      <color rgb="FF3F3F3F"/>
      <name val="Tahoma"/>
      <family val="2"/>
    </font>
    <font>
      <b/>
      <sz val="8"/>
      <color rgb="FFFA7D00"/>
      <name val="Tahoma"/>
      <family val="2"/>
    </font>
    <font>
      <sz val="8"/>
      <color rgb="FFFA7D00"/>
      <name val="Tahoma"/>
      <family val="2"/>
    </font>
    <font>
      <b/>
      <sz val="8"/>
      <color theme="0"/>
      <name val="Tahoma"/>
      <family val="2"/>
    </font>
    <font>
      <sz val="8"/>
      <color rgb="FFFF0000"/>
      <name val="Tahoma"/>
      <family val="2"/>
    </font>
    <font>
      <sz val="8"/>
      <name val="Arial"/>
      <family val="2"/>
    </font>
    <font>
      <i/>
      <sz val="8"/>
      <color rgb="FF7F7F7F"/>
      <name val="Tahoma"/>
      <family val="2"/>
    </font>
    <font>
      <b/>
      <sz val="8"/>
      <color theme="1"/>
      <name val="Tahoma"/>
      <family val="2"/>
    </font>
    <font>
      <sz val="8"/>
      <color theme="0"/>
      <name val="Tahoma"/>
      <family val="2"/>
    </font>
    <font>
      <sz val="8"/>
      <color theme="1"/>
      <name val="Tahoma"/>
      <family val="2"/>
    </font>
    <font>
      <b/>
      <sz val="8"/>
      <name val="Tahoma"/>
      <family val="2"/>
    </font>
    <font>
      <b/>
      <sz val="14"/>
      <name val="Tahoma"/>
      <family val="2"/>
    </font>
    <font>
      <b/>
      <sz val="14"/>
      <name val="Tahoma"/>
      <family val="2"/>
      <scheme val="major"/>
    </font>
    <font>
      <b/>
      <sz val="13"/>
      <name val="Tahoma"/>
      <family val="2"/>
    </font>
    <font>
      <b/>
      <sz val="13"/>
      <name val="Tahoma"/>
      <family val="2"/>
      <scheme val="major"/>
    </font>
    <font>
      <b/>
      <sz val="12"/>
      <name val="Tahoma"/>
      <family val="2"/>
    </font>
    <font>
      <b/>
      <sz val="12"/>
      <name val="Tahoma"/>
      <family val="2"/>
      <scheme val="major"/>
    </font>
    <font>
      <b/>
      <sz val="10"/>
      <name val="Tahoma"/>
      <family val="2"/>
    </font>
    <font>
      <b/>
      <sz val="10"/>
      <name val="Tahoma"/>
      <family val="2"/>
      <scheme val="major"/>
    </font>
    <font>
      <b/>
      <sz val="9"/>
      <name val="Tahoma"/>
      <family val="2"/>
    </font>
    <font>
      <b/>
      <sz val="9"/>
      <name val="Tahoma"/>
      <family val="2"/>
      <scheme val="major"/>
    </font>
    <font>
      <b/>
      <sz val="8"/>
      <name val="Tahoma"/>
      <family val="2"/>
      <scheme val="major"/>
    </font>
    <font>
      <sz val="8"/>
      <name val="Tahoma"/>
      <family val="2"/>
      <scheme val="major"/>
    </font>
    <font>
      <sz val="8"/>
      <name val="Tahoma"/>
      <family val="2"/>
      <scheme val="minor"/>
    </font>
    <font>
      <b/>
      <sz val="8"/>
      <name val="Tahoma"/>
      <family val="2"/>
      <scheme val="minor"/>
    </font>
    <font>
      <b/>
      <u/>
      <sz val="8"/>
      <color indexed="56"/>
      <name val="Tahoma"/>
      <family val="2"/>
      <scheme val="minor"/>
    </font>
    <font>
      <b/>
      <u/>
      <sz val="10"/>
      <color indexed="56"/>
      <name val="Tahoma"/>
      <family val="2"/>
    </font>
    <font>
      <b/>
      <u/>
      <sz val="10"/>
      <color indexed="56"/>
      <name val="Tahoma"/>
      <family val="2"/>
      <scheme val="minor"/>
    </font>
    <font>
      <b/>
      <u/>
      <sz val="9"/>
      <color indexed="56"/>
      <name val="Tahoma"/>
      <family val="2"/>
    </font>
    <font>
      <b/>
      <u/>
      <sz val="9"/>
      <color indexed="56"/>
      <name val="Tahoma"/>
      <family val="2"/>
      <scheme val="minor"/>
    </font>
    <font>
      <sz val="8"/>
      <color indexed="56"/>
      <name val="Tahoma"/>
      <family val="2"/>
      <scheme val="minor"/>
    </font>
    <font>
      <u/>
      <sz val="8"/>
      <color theme="10"/>
      <name val="Tahoma"/>
      <family val="2"/>
    </font>
    <font>
      <b/>
      <sz val="14"/>
      <color indexed="60"/>
      <name val="Tahoma"/>
      <family val="2"/>
      <scheme val="major"/>
    </font>
    <font>
      <b/>
      <sz val="12"/>
      <color indexed="59"/>
      <name val="Tahoma"/>
      <family val="2"/>
      <scheme val="major"/>
    </font>
    <font>
      <b/>
      <sz val="8"/>
      <color indexed="60"/>
      <name val="Tahoma"/>
      <family val="2"/>
      <scheme val="major"/>
    </font>
    <font>
      <sz val="8"/>
      <color indexed="60"/>
      <name val="Tahoma"/>
      <family val="2"/>
      <scheme val="major"/>
    </font>
    <font>
      <b/>
      <sz val="9"/>
      <color indexed="60"/>
      <name val="Tahoma"/>
      <family val="2"/>
      <scheme val="major"/>
    </font>
    <font>
      <b/>
      <sz val="10"/>
      <color indexed="60"/>
      <name val="Tahoma"/>
      <family val="2"/>
      <scheme val="major"/>
    </font>
    <font>
      <b/>
      <sz val="13"/>
      <color indexed="60"/>
      <name val="Tahoma"/>
      <family val="2"/>
      <scheme val="major"/>
    </font>
    <font>
      <b/>
      <sz val="8"/>
      <color indexed="59"/>
      <name val="Tahoma"/>
      <family val="2"/>
      <scheme val="major"/>
    </font>
    <font>
      <b/>
      <sz val="8"/>
      <color indexed="58"/>
      <name val="Tahoma"/>
      <family val="2"/>
      <scheme val="major"/>
    </font>
    <font>
      <sz val="8"/>
      <color indexed="60"/>
      <name val="Tahoma"/>
      <family val="2"/>
      <scheme val="minor"/>
    </font>
    <font>
      <b/>
      <sz val="8"/>
      <color indexed="60"/>
      <name val="Tahoma"/>
      <family val="2"/>
      <scheme val="minor"/>
    </font>
    <font>
      <sz val="8"/>
      <color indexed="18"/>
      <name val="Tahoma"/>
      <family val="2"/>
      <scheme val="minor"/>
    </font>
    <font>
      <sz val="8"/>
      <color indexed="59"/>
      <name val="Tahoma"/>
      <family val="2"/>
      <scheme val="major"/>
    </font>
    <font>
      <sz val="8"/>
      <color indexed="59"/>
      <name val="Tahoma"/>
      <family val="2"/>
      <scheme val="minor"/>
    </font>
    <font>
      <b/>
      <sz val="8"/>
      <color indexed="59"/>
      <name val="Tahoma"/>
      <family val="2"/>
      <scheme val="minor"/>
    </font>
    <font>
      <sz val="8"/>
      <color rgb="FFFFFFFF"/>
      <name val="Tahoma"/>
      <family val="2"/>
      <scheme val="minor"/>
    </font>
    <font>
      <sz val="8"/>
      <color indexed="18"/>
      <name val="Arial"/>
      <family val="2"/>
    </font>
    <font>
      <sz val="9"/>
      <color indexed="81"/>
      <name val="Tahoma"/>
      <family val="2"/>
    </font>
    <font>
      <b/>
      <sz val="9"/>
      <color indexed="81"/>
      <name val="Tahoma"/>
      <family val="2"/>
    </font>
    <font>
      <sz val="8"/>
      <color indexed="81"/>
      <name val="Tahoma"/>
      <family val="2"/>
    </font>
    <font>
      <i/>
      <sz val="8"/>
      <name val="Tahoma"/>
      <family val="2"/>
      <scheme val="minor"/>
    </font>
    <font>
      <i/>
      <sz val="8"/>
      <color indexed="59"/>
      <name val="Tahoma"/>
      <family val="2"/>
      <scheme val="major"/>
    </font>
    <font>
      <i/>
      <sz val="8"/>
      <color indexed="59"/>
      <name val="Tahoma"/>
      <family val="2"/>
      <scheme val="minor"/>
    </font>
    <font>
      <b/>
      <sz val="9"/>
      <color indexed="59"/>
      <name val="Tahoma"/>
      <family val="2"/>
      <scheme val="major"/>
    </font>
    <font>
      <b/>
      <sz val="9"/>
      <color indexed="63"/>
      <name val="Tahoma"/>
      <family val="2"/>
    </font>
    <font>
      <i/>
      <sz val="8"/>
      <color indexed="60"/>
      <name val="Tahoma"/>
      <family val="2"/>
      <scheme val="major"/>
    </font>
    <font>
      <b/>
      <sz val="10"/>
      <color indexed="56"/>
      <name val="Tahoma"/>
      <family val="2"/>
      <scheme val="minor"/>
    </font>
    <font>
      <b/>
      <sz val="9"/>
      <color indexed="56"/>
      <name val="Tahoma"/>
      <family val="2"/>
      <scheme val="minor"/>
    </font>
    <font>
      <u/>
      <sz val="8"/>
      <color indexed="60"/>
      <name val="Tahoma"/>
      <family val="2"/>
    </font>
    <font>
      <sz val="8"/>
      <color rgb="FFFFFFFF"/>
      <name val="Tahoma"/>
      <family val="2"/>
      <scheme val="major"/>
    </font>
  </fonts>
  <fills count="39">
    <fill>
      <patternFill patternType="none"/>
    </fill>
    <fill>
      <patternFill patternType="gray125"/>
    </fill>
    <fill>
      <patternFill patternType="solid">
        <fgColor indexed="1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indexed="6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dashed">
        <color indexed="64"/>
      </bottom>
      <diagonal/>
    </border>
    <border>
      <left/>
      <right style="thin">
        <color indexed="64"/>
      </right>
      <top/>
      <bottom/>
      <diagonal/>
    </border>
    <border>
      <left style="dashed">
        <color indexed="64"/>
      </left>
      <right/>
      <top style="thin">
        <color indexed="64"/>
      </top>
      <bottom style="dashed">
        <color indexed="64"/>
      </bottom>
      <diagonal/>
    </border>
    <border>
      <left/>
      <right/>
      <top style="thin">
        <color indexed="64"/>
      </top>
      <bottom/>
      <diagonal/>
    </border>
    <border>
      <left/>
      <right/>
      <top style="dashed">
        <color indexed="64"/>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18"/>
      </left>
      <right/>
      <top style="thin">
        <color indexed="18"/>
      </top>
      <bottom style="thin">
        <color indexed="18"/>
      </bottom>
      <diagonal/>
    </border>
    <border>
      <left/>
      <right style="thin">
        <color indexed="18"/>
      </right>
      <top style="thin">
        <color indexed="18"/>
      </top>
      <bottom style="thin">
        <color indexed="18"/>
      </bottom>
      <diagonal/>
    </border>
    <border>
      <left/>
      <right/>
      <top style="thin">
        <color indexed="18"/>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right style="dotted">
        <color indexed="64"/>
      </right>
      <top style="thin">
        <color indexed="64"/>
      </top>
      <bottom/>
      <diagonal/>
    </border>
    <border>
      <left style="dotted">
        <color indexed="64"/>
      </left>
      <right style="dotted">
        <color indexed="64"/>
      </right>
      <top style="dotted">
        <color indexed="64"/>
      </top>
      <bottom style="thin">
        <color indexed="64"/>
      </bottom>
      <diagonal/>
    </border>
    <border>
      <left style="dotted">
        <color indexed="64"/>
      </left>
      <right style="dotted">
        <color indexed="64"/>
      </right>
      <top style="thin">
        <color indexed="64"/>
      </top>
      <bottom style="dotted">
        <color indexed="64"/>
      </bottom>
      <diagonal/>
    </border>
    <border>
      <left style="thin">
        <color indexed="18"/>
      </left>
      <right style="thin">
        <color indexed="18"/>
      </right>
      <top style="thin">
        <color indexed="18"/>
      </top>
      <bottom/>
      <diagonal/>
    </border>
    <border>
      <left/>
      <right/>
      <top style="dashed">
        <color indexed="64"/>
      </top>
      <bottom/>
      <diagonal/>
    </border>
    <border>
      <left/>
      <right/>
      <top style="dashed">
        <color indexed="64"/>
      </top>
      <bottom style="dashed">
        <color indexed="18"/>
      </bottom>
      <diagonal/>
    </border>
    <border>
      <left/>
      <right/>
      <top style="dashed">
        <color indexed="18"/>
      </top>
      <bottom style="dashed">
        <color indexed="64"/>
      </bottom>
      <diagonal/>
    </border>
    <border>
      <left style="thin">
        <color indexed="18"/>
      </left>
      <right style="thin">
        <color indexed="18"/>
      </right>
      <top/>
      <bottom style="thin">
        <color indexed="1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6">
    <xf numFmtId="0" fontId="0" fillId="0" borderId="0" applyFill="0" applyBorder="0">
      <alignment vertical="center"/>
    </xf>
    <xf numFmtId="0" fontId="51" fillId="0" borderId="0" applyNumberFormat="0" applyFill="0" applyBorder="0" applyAlignment="0" applyProtection="0">
      <alignment vertical="top"/>
      <protection locked="0"/>
    </xf>
    <xf numFmtId="167"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applyFill="0" applyBorder="0">
      <alignment vertical="center"/>
    </xf>
    <xf numFmtId="0" fontId="3" fillId="0" borderId="0" applyFill="0" applyBorder="0">
      <alignment vertical="center"/>
    </xf>
    <xf numFmtId="0" fontId="4" fillId="0" borderId="0" applyFill="0" applyBorder="0">
      <alignment vertical="center"/>
    </xf>
    <xf numFmtId="0" fontId="1" fillId="0" borderId="0" applyFill="0" applyBorder="0">
      <alignment vertical="center"/>
    </xf>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1" applyNumberFormat="0" applyAlignment="0" applyProtection="0"/>
    <xf numFmtId="0" fontId="20" fillId="8" borderId="12" applyNumberFormat="0" applyAlignment="0" applyProtection="0"/>
    <xf numFmtId="0" fontId="21" fillId="8" borderId="11" applyNumberFormat="0" applyAlignment="0" applyProtection="0"/>
    <xf numFmtId="0" fontId="22" fillId="0" borderId="13" applyNumberFormat="0" applyFill="0" applyAlignment="0" applyProtection="0"/>
    <xf numFmtId="0" fontId="23" fillId="9" borderId="14" applyNumberFormat="0" applyAlignment="0" applyProtection="0"/>
    <xf numFmtId="0" fontId="24" fillId="0" borderId="0" applyNumberFormat="0" applyFill="0" applyBorder="0" applyAlignment="0" applyProtection="0"/>
    <xf numFmtId="0" fontId="25" fillId="10" borderId="15" applyNumberFormat="0" applyFont="0" applyAlignment="0" applyProtection="0"/>
    <xf numFmtId="0" fontId="26" fillId="0" borderId="0" applyNumberFormat="0" applyFill="0" applyBorder="0" applyAlignment="0" applyProtection="0"/>
    <xf numFmtId="0" fontId="27" fillId="0" borderId="16" applyNumberFormat="0" applyFill="0" applyAlignment="0" applyProtection="0"/>
    <xf numFmtId="0" fontId="28"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9" fillId="32" borderId="0" applyNumberFormat="0" applyBorder="0" applyAlignment="0" applyProtection="0"/>
    <xf numFmtId="0" fontId="29" fillId="33" borderId="0" applyNumberFormat="0" applyBorder="0" applyAlignment="0" applyProtection="0"/>
    <xf numFmtId="0" fontId="28" fillId="34" borderId="0" applyNumberFormat="0" applyBorder="0" applyAlignment="0" applyProtection="0"/>
    <xf numFmtId="0" fontId="32" fillId="0" borderId="0" applyFill="0" applyBorder="0">
      <alignment vertical="center"/>
    </xf>
    <xf numFmtId="0" fontId="34" fillId="0" borderId="0" applyFill="0" applyBorder="0">
      <alignment vertical="center"/>
    </xf>
    <xf numFmtId="0" fontId="36" fillId="0" borderId="0" applyFill="0" applyBorder="0">
      <alignment vertical="center"/>
    </xf>
    <xf numFmtId="0" fontId="38" fillId="0" borderId="0" applyFill="0" applyBorder="0">
      <alignment vertical="center"/>
    </xf>
    <xf numFmtId="0" fontId="40" fillId="0" borderId="0" applyFill="0" applyBorder="0">
      <alignment vertical="center"/>
    </xf>
    <xf numFmtId="0" fontId="41" fillId="0" borderId="0" applyFill="0" applyBorder="0">
      <alignment vertical="center"/>
    </xf>
    <xf numFmtId="0" fontId="42" fillId="0" borderId="0" applyFill="0" applyBorder="0">
      <alignment vertical="center"/>
    </xf>
    <xf numFmtId="0" fontId="42" fillId="0" borderId="0" applyFill="0" applyBorder="0">
      <alignment vertical="center"/>
      <protection locked="0"/>
    </xf>
    <xf numFmtId="0" fontId="43" fillId="0" borderId="10">
      <alignment vertical="center"/>
      <protection locked="0"/>
    </xf>
    <xf numFmtId="177" fontId="43" fillId="0" borderId="10">
      <alignment vertical="center"/>
      <protection locked="0"/>
    </xf>
    <xf numFmtId="178" fontId="43" fillId="0" borderId="10">
      <alignment vertical="center"/>
      <protection locked="0"/>
    </xf>
    <xf numFmtId="168" fontId="43" fillId="0" borderId="10">
      <alignment vertical="center"/>
      <protection locked="0"/>
    </xf>
    <xf numFmtId="169" fontId="43" fillId="0" borderId="10">
      <alignment vertical="center"/>
      <protection locked="0"/>
    </xf>
    <xf numFmtId="170" fontId="43" fillId="0" borderId="10">
      <alignment vertical="center"/>
      <protection locked="0"/>
    </xf>
    <xf numFmtId="171" fontId="43" fillId="0" borderId="10">
      <alignment vertical="center"/>
      <protection locked="0"/>
    </xf>
    <xf numFmtId="0" fontId="10" fillId="0" borderId="0" applyNumberFormat="0" applyFont="0" applyFill="0" applyBorder="0">
      <alignment horizontal="center" vertical="center"/>
      <protection locked="0"/>
    </xf>
    <xf numFmtId="177" fontId="43" fillId="0" borderId="0" applyFill="0" applyBorder="0">
      <alignment vertical="center"/>
    </xf>
    <xf numFmtId="178" fontId="43" fillId="0" borderId="0" applyFill="0" applyBorder="0">
      <alignment vertical="center"/>
    </xf>
    <xf numFmtId="168" fontId="43" fillId="0" borderId="0" applyFill="0" applyBorder="0">
      <alignment vertical="center"/>
    </xf>
    <xf numFmtId="169" fontId="43" fillId="0" borderId="0" applyFill="0" applyBorder="0">
      <alignment vertical="center"/>
    </xf>
    <xf numFmtId="170" fontId="43" fillId="0" borderId="0" applyFill="0" applyBorder="0">
      <alignment vertical="center"/>
    </xf>
    <xf numFmtId="171" fontId="43" fillId="0" borderId="0" applyFill="0" applyBorder="0">
      <alignment vertical="center"/>
    </xf>
    <xf numFmtId="0" fontId="44" fillId="0" borderId="0" applyFill="0" applyBorder="0">
      <alignment vertical="center"/>
    </xf>
    <xf numFmtId="0" fontId="44" fillId="0" borderId="1" applyFill="0">
      <alignment horizontal="center" vertical="center"/>
    </xf>
    <xf numFmtId="175" fontId="43" fillId="0" borderId="1" applyFill="0">
      <alignment horizontal="center" vertical="center"/>
    </xf>
    <xf numFmtId="0" fontId="43" fillId="0" borderId="1" applyFill="0">
      <alignment horizontal="center" vertical="center"/>
    </xf>
    <xf numFmtId="0" fontId="45"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7" fillId="0" borderId="0" applyFill="0" applyBorder="0">
      <alignment vertical="center"/>
    </xf>
    <xf numFmtId="0" fontId="49" fillId="0" borderId="0" applyFill="0" applyBorder="0">
      <alignment vertical="center"/>
    </xf>
    <xf numFmtId="0" fontId="50" fillId="0" borderId="0" applyFill="0" applyBorder="0">
      <alignment vertical="center"/>
    </xf>
    <xf numFmtId="0" fontId="50" fillId="0" borderId="0" applyFill="0" applyBorder="0">
      <alignment vertical="center"/>
    </xf>
    <xf numFmtId="0" fontId="31" fillId="0" borderId="0" applyFill="0" applyBorder="0">
      <alignment vertical="center"/>
    </xf>
    <xf numFmtId="0" fontId="33" fillId="0" borderId="0" applyFill="0" applyBorder="0">
      <alignment vertical="center"/>
    </xf>
    <xf numFmtId="0" fontId="35" fillId="0" borderId="0" applyFill="0" applyBorder="0">
      <alignment vertical="center"/>
    </xf>
    <xf numFmtId="0" fontId="37" fillId="0" borderId="0" applyFill="0" applyBorder="0">
      <alignment vertical="center"/>
    </xf>
    <xf numFmtId="0" fontId="39" fillId="0" borderId="0" applyFill="0" applyBorder="0">
      <alignment vertical="center"/>
    </xf>
    <xf numFmtId="0" fontId="30" fillId="0" borderId="0" applyFill="0" applyBorder="0">
      <alignment vertical="center"/>
    </xf>
    <xf numFmtId="0" fontId="10" fillId="0" borderId="0" applyFill="0" applyBorder="0">
      <alignment vertical="center"/>
    </xf>
    <xf numFmtId="0" fontId="10" fillId="0" borderId="0" applyFill="0" applyBorder="0">
      <alignment vertical="center"/>
      <protection locked="0"/>
    </xf>
    <xf numFmtId="168" fontId="10" fillId="0" borderId="0" applyFill="0" applyBorder="0">
      <alignment vertical="center"/>
    </xf>
    <xf numFmtId="169" fontId="10" fillId="0" borderId="0" applyFill="0" applyBorder="0">
      <alignment vertical="center"/>
    </xf>
    <xf numFmtId="170" fontId="10" fillId="0" borderId="0" applyFill="0" applyBorder="0">
      <alignment vertical="center"/>
    </xf>
    <xf numFmtId="171" fontId="10" fillId="0" borderId="0" applyFill="0" applyBorder="0">
      <alignment vertical="center"/>
    </xf>
    <xf numFmtId="177" fontId="10" fillId="0" borderId="0" applyFill="0" applyBorder="0">
      <alignment vertical="center"/>
    </xf>
    <xf numFmtId="178" fontId="10" fillId="0" borderId="0" applyFill="0" applyBorder="0">
      <alignment vertical="center"/>
    </xf>
    <xf numFmtId="0" fontId="30" fillId="0" borderId="0" applyFill="0" applyBorder="0">
      <alignment vertical="center"/>
    </xf>
    <xf numFmtId="0" fontId="13" fillId="0" borderId="0" applyFill="0" applyBorder="0">
      <alignment vertical="center"/>
    </xf>
    <xf numFmtId="0" fontId="5" fillId="0" borderId="0" applyFill="0" applyBorder="0">
      <alignment horizontal="center" vertical="center"/>
    </xf>
    <xf numFmtId="0" fontId="5" fillId="0" borderId="0" applyFill="0" applyBorder="0">
      <alignment horizontal="center" vertical="center"/>
    </xf>
    <xf numFmtId="0" fontId="46" fillId="0" borderId="0" applyFill="0" applyBorder="0">
      <alignment vertical="center"/>
    </xf>
    <xf numFmtId="0" fontId="48" fillId="0" borderId="0" applyFill="0" applyBorder="0">
      <alignment vertical="center"/>
    </xf>
    <xf numFmtId="0" fontId="14" fillId="0" borderId="0" applyFill="0" applyBorder="0">
      <alignment vertical="center"/>
    </xf>
    <xf numFmtId="0" fontId="14" fillId="0" borderId="0" applyFill="0" applyBorder="0">
      <alignment vertical="center"/>
    </xf>
    <xf numFmtId="0" fontId="10" fillId="0" borderId="0" applyFill="0" applyBorder="0">
      <alignment vertical="center"/>
    </xf>
  </cellStyleXfs>
  <cellXfs count="338">
    <xf numFmtId="0" fontId="0" fillId="0" borderId="0" xfId="0">
      <alignment vertical="center"/>
    </xf>
    <xf numFmtId="0" fontId="52" fillId="0" borderId="0" xfId="50" applyFont="1">
      <alignment vertical="center"/>
    </xf>
    <xf numFmtId="0" fontId="36" fillId="0" borderId="0" xfId="52" applyFont="1">
      <alignment vertical="center"/>
    </xf>
    <xf numFmtId="0" fontId="53" fillId="0" borderId="0" xfId="52" applyFont="1">
      <alignment vertical="center"/>
    </xf>
    <xf numFmtId="0" fontId="41" fillId="0" borderId="0" xfId="55" applyFont="1">
      <alignment vertical="center"/>
    </xf>
    <xf numFmtId="0" fontId="42" fillId="0" borderId="0" xfId="56" applyFont="1">
      <alignment vertical="center"/>
    </xf>
    <xf numFmtId="0" fontId="55" fillId="0" borderId="0" xfId="56" applyFont="1">
      <alignment vertical="center"/>
    </xf>
    <xf numFmtId="0" fontId="57" fillId="0" borderId="2" xfId="53" applyFont="1" applyBorder="1">
      <alignment vertical="center"/>
    </xf>
    <xf numFmtId="0" fontId="51" fillId="0" borderId="0" xfId="1" applyAlignment="1" applyProtection="1">
      <alignment vertical="center"/>
    </xf>
    <xf numFmtId="0" fontId="45" fillId="0" borderId="0" xfId="76">
      <alignment vertical="center"/>
    </xf>
    <xf numFmtId="0" fontId="5" fillId="0" borderId="0" xfId="77">
      <alignment horizontal="center" vertical="center"/>
    </xf>
    <xf numFmtId="0" fontId="5" fillId="0" borderId="0" xfId="77" applyAlignment="1">
      <alignment horizontal="right" vertical="center"/>
    </xf>
    <xf numFmtId="0" fontId="5" fillId="0" borderId="0" xfId="77" applyAlignment="1">
      <alignment horizontal="left" vertical="center"/>
    </xf>
    <xf numFmtId="0" fontId="5" fillId="0" borderId="0" xfId="78" applyAlignment="1">
      <alignment horizontal="left" vertical="center"/>
    </xf>
    <xf numFmtId="0" fontId="7" fillId="0" borderId="0" xfId="0" applyFont="1" applyAlignment="1">
      <alignment horizontal="left" vertical="center"/>
    </xf>
    <xf numFmtId="0" fontId="0" fillId="0" borderId="0" xfId="0">
      <alignment vertical="center"/>
    </xf>
    <xf numFmtId="0" fontId="9" fillId="0" borderId="0" xfId="0" applyFont="1" applyAlignment="1">
      <alignment horizontal="left" vertical="center"/>
    </xf>
    <xf numFmtId="0" fontId="0" fillId="0" borderId="2" xfId="0" applyBorder="1">
      <alignment vertical="center"/>
    </xf>
    <xf numFmtId="0" fontId="0" fillId="2" borderId="0" xfId="0" applyFill="1">
      <alignment vertical="center"/>
    </xf>
    <xf numFmtId="0" fontId="0" fillId="0" borderId="3" xfId="0" applyBorder="1">
      <alignment vertical="center"/>
    </xf>
    <xf numFmtId="0" fontId="0" fillId="2" borderId="0" xfId="0" applyFill="1">
      <alignment vertical="center"/>
    </xf>
    <xf numFmtId="0" fontId="0" fillId="0" borderId="0" xfId="0" applyBorder="1">
      <alignment vertical="center"/>
    </xf>
    <xf numFmtId="0" fontId="0" fillId="2" borderId="2" xfId="0" applyFill="1" applyBorder="1">
      <alignment vertical="center"/>
    </xf>
    <xf numFmtId="0" fontId="12" fillId="0" borderId="0" xfId="0" applyFont="1" applyAlignment="1">
      <alignment horizontal="left" vertical="center"/>
    </xf>
    <xf numFmtId="0" fontId="0" fillId="0" borderId="0" xfId="0" applyFill="1">
      <alignment vertical="center"/>
    </xf>
    <xf numFmtId="0" fontId="54" fillId="0" borderId="0" xfId="55" applyFont="1" applyAlignment="1">
      <alignment horizontal="left" vertical="center"/>
    </xf>
    <xf numFmtId="0" fontId="55" fillId="0" borderId="0" xfId="56" applyFont="1" applyAlignment="1">
      <alignment horizontal="left" vertical="center"/>
    </xf>
    <xf numFmtId="0" fontId="58" fillId="0" borderId="0" xfId="51" applyFont="1">
      <alignment vertical="center"/>
    </xf>
    <xf numFmtId="0" fontId="10" fillId="0" borderId="0" xfId="105">
      <alignment vertical="center"/>
    </xf>
    <xf numFmtId="0" fontId="35" fillId="0" borderId="0" xfId="85">
      <alignment vertical="center"/>
    </xf>
    <xf numFmtId="0" fontId="31" fillId="0" borderId="0" xfId="83">
      <alignment vertical="center"/>
    </xf>
    <xf numFmtId="0" fontId="5" fillId="0" borderId="0" xfId="99">
      <alignment horizontal="center" vertical="center"/>
    </xf>
    <xf numFmtId="0" fontId="57" fillId="0" borderId="0" xfId="53" applyFont="1" applyAlignment="1">
      <alignment horizontal="left" vertical="center"/>
    </xf>
    <xf numFmtId="0" fontId="56" fillId="0" borderId="0" xfId="54" applyFont="1" applyAlignment="1">
      <alignment horizontal="left" vertical="center"/>
    </xf>
    <xf numFmtId="0" fontId="56" fillId="0" borderId="2" xfId="54" applyFont="1" applyBorder="1" applyAlignment="1">
      <alignment horizontal="left" vertical="center"/>
    </xf>
    <xf numFmtId="0" fontId="55" fillId="0" borderId="0" xfId="56" quotePrefix="1" applyFont="1" applyAlignment="1">
      <alignment horizontal="left" vertical="center"/>
    </xf>
    <xf numFmtId="0" fontId="55" fillId="0" borderId="0" xfId="56" applyFont="1" applyAlignment="1">
      <alignment horizontal="center" vertical="center"/>
    </xf>
    <xf numFmtId="0" fontId="62" fillId="0" borderId="1" xfId="73" applyFont="1" applyAlignment="1">
      <alignment horizontal="center" vertical="center"/>
    </xf>
    <xf numFmtId="0" fontId="61" fillId="0" borderId="1" xfId="75" applyFont="1" applyAlignment="1">
      <alignment horizontal="center" vertical="center"/>
    </xf>
    <xf numFmtId="172" fontId="61" fillId="0" borderId="1" xfId="74" applyNumberFormat="1" applyFont="1" applyAlignment="1">
      <alignment horizontal="center" vertical="center"/>
    </xf>
    <xf numFmtId="172" fontId="43" fillId="0" borderId="1" xfId="74" applyNumberFormat="1" applyFont="1" applyAlignment="1">
      <alignment horizontal="center" vertical="center"/>
    </xf>
    <xf numFmtId="0" fontId="36" fillId="2" borderId="0" xfId="52" applyFont="1" applyFill="1">
      <alignment vertical="center"/>
    </xf>
    <xf numFmtId="0" fontId="52" fillId="2" borderId="0" xfId="50" applyFont="1" applyFill="1">
      <alignment vertical="center"/>
    </xf>
    <xf numFmtId="0" fontId="5" fillId="2" borderId="0" xfId="77" applyFill="1">
      <alignment horizontal="center" vertical="center"/>
    </xf>
    <xf numFmtId="0" fontId="5" fillId="2" borderId="0" xfId="77" applyFill="1" applyAlignment="1">
      <alignment horizontal="right" vertical="center"/>
    </xf>
    <xf numFmtId="0" fontId="5" fillId="2" borderId="0" xfId="77" applyFill="1" applyAlignment="1">
      <alignment horizontal="left" vertical="center"/>
    </xf>
    <xf numFmtId="0" fontId="5" fillId="2" borderId="0" xfId="78" applyFill="1" applyAlignment="1">
      <alignment horizontal="left" vertical="center"/>
    </xf>
    <xf numFmtId="0" fontId="57" fillId="2" borderId="0" xfId="53" applyFont="1" applyFill="1" applyAlignment="1">
      <alignment horizontal="left" vertical="center"/>
    </xf>
    <xf numFmtId="0" fontId="56" fillId="2" borderId="0" xfId="54" applyFont="1" applyFill="1" applyAlignment="1">
      <alignment horizontal="left" vertical="center"/>
    </xf>
    <xf numFmtId="0" fontId="55" fillId="2" borderId="0" xfId="56" applyFont="1" applyFill="1" applyAlignment="1">
      <alignment horizontal="left" vertical="center"/>
    </xf>
    <xf numFmtId="0" fontId="54" fillId="2" borderId="0" xfId="55" applyFont="1" applyFill="1" applyAlignment="1">
      <alignment horizontal="left" vertical="center"/>
    </xf>
    <xf numFmtId="0" fontId="55" fillId="2" borderId="0" xfId="56" quotePrefix="1" applyFont="1" applyFill="1" applyAlignment="1">
      <alignment horizontal="right" vertical="center"/>
    </xf>
    <xf numFmtId="0" fontId="55" fillId="2" borderId="0" xfId="56" quotePrefix="1" applyFont="1" applyFill="1" applyAlignment="1">
      <alignment horizontal="left" vertical="center"/>
    </xf>
    <xf numFmtId="0" fontId="63" fillId="2" borderId="0" xfId="65" applyFont="1" applyFill="1" applyAlignment="1">
      <alignment horizontal="center" vertical="center"/>
      <protection locked="0"/>
    </xf>
    <xf numFmtId="0" fontId="66" fillId="2" borderId="0" xfId="72" applyFont="1" applyFill="1" applyAlignment="1">
      <alignment horizontal="left" vertical="center"/>
    </xf>
    <xf numFmtId="178" fontId="43" fillId="2" borderId="0" xfId="67" applyFont="1" applyFill="1" applyAlignment="1">
      <alignment horizontal="right" vertical="center"/>
    </xf>
    <xf numFmtId="0" fontId="64" fillId="2" borderId="0" xfId="56" applyFont="1" applyFill="1" applyAlignment="1">
      <alignment horizontal="right" vertical="center"/>
    </xf>
    <xf numFmtId="172" fontId="43" fillId="2" borderId="0" xfId="68" applyNumberFormat="1" applyFont="1" applyFill="1" applyAlignment="1">
      <alignment horizontal="right" vertical="center"/>
    </xf>
    <xf numFmtId="0" fontId="66" fillId="2" borderId="2" xfId="72" applyFont="1" applyFill="1" applyBorder="1" applyAlignment="1">
      <alignment horizontal="left" vertical="center"/>
    </xf>
    <xf numFmtId="0" fontId="66" fillId="2" borderId="2" xfId="72" applyFont="1" applyFill="1" applyBorder="1" applyAlignment="1">
      <alignment horizontal="right" vertical="center"/>
    </xf>
    <xf numFmtId="0" fontId="55" fillId="2" borderId="2" xfId="56" applyFont="1" applyFill="1" applyBorder="1" applyAlignment="1">
      <alignment horizontal="left" vertical="center"/>
    </xf>
    <xf numFmtId="0" fontId="56" fillId="2" borderId="0" xfId="54" applyFont="1" applyFill="1">
      <alignment vertical="center"/>
    </xf>
    <xf numFmtId="0" fontId="54" fillId="2" borderId="0" xfId="55" applyFont="1" applyFill="1">
      <alignment vertical="center"/>
    </xf>
    <xf numFmtId="169" fontId="61" fillId="0" borderId="10" xfId="62" applyFont="1">
      <alignment vertical="center"/>
      <protection locked="0"/>
    </xf>
    <xf numFmtId="169" fontId="61" fillId="0" borderId="19" xfId="62" applyFont="1" applyBorder="1">
      <alignment vertical="center"/>
      <protection locked="0"/>
    </xf>
    <xf numFmtId="0" fontId="55" fillId="2" borderId="0" xfId="56" applyFont="1" applyFill="1">
      <alignment vertical="center"/>
    </xf>
    <xf numFmtId="0" fontId="61" fillId="0" borderId="0" xfId="65" applyFont="1" applyAlignment="1">
      <alignment horizontal="center" vertical="center"/>
      <protection locked="0"/>
    </xf>
    <xf numFmtId="0" fontId="67" fillId="0" borderId="0" xfId="65" applyFont="1" applyAlignment="1">
      <alignment horizontal="center" vertical="center"/>
      <protection locked="0"/>
    </xf>
    <xf numFmtId="0" fontId="54" fillId="0" borderId="2" xfId="55" applyFont="1" applyBorder="1" applyAlignment="1">
      <alignment horizontal="left" vertical="center"/>
    </xf>
    <xf numFmtId="0" fontId="54" fillId="0" borderId="2" xfId="55" applyFont="1" applyBorder="1" applyAlignment="1">
      <alignment horizontal="center" vertical="center"/>
    </xf>
    <xf numFmtId="172" fontId="65" fillId="0" borderId="0" xfId="68" applyNumberFormat="1" applyFont="1" applyAlignment="1">
      <alignment horizontal="center" vertical="center"/>
    </xf>
    <xf numFmtId="172" fontId="66" fillId="0" borderId="1" xfId="68" applyNumberFormat="1" applyFont="1" applyBorder="1" applyAlignment="1">
      <alignment horizontal="center" vertical="center"/>
    </xf>
    <xf numFmtId="0" fontId="41" fillId="0" borderId="0" xfId="55" applyFont="1" applyAlignment="1">
      <alignment horizontal="left" vertical="center"/>
    </xf>
    <xf numFmtId="172" fontId="43" fillId="0" borderId="0" xfId="68" applyNumberFormat="1" applyFont="1" applyAlignment="1">
      <alignment horizontal="center" vertical="center"/>
    </xf>
    <xf numFmtId="172" fontId="44" fillId="0" borderId="17" xfId="68" applyNumberFormat="1" applyFont="1" applyBorder="1" applyAlignment="1">
      <alignment horizontal="center" vertical="center"/>
    </xf>
    <xf numFmtId="172" fontId="54" fillId="0" borderId="0" xfId="55" applyNumberFormat="1" applyFont="1" applyAlignment="1">
      <alignment horizontal="left" vertical="center"/>
    </xf>
    <xf numFmtId="172" fontId="59" fillId="0" borderId="5" xfId="56" applyNumberFormat="1" applyFont="1" applyBorder="1" applyAlignment="1">
      <alignment horizontal="left" vertical="center"/>
    </xf>
    <xf numFmtId="0" fontId="54" fillId="0" borderId="0" xfId="55" applyFont="1" applyBorder="1" applyAlignment="1">
      <alignment horizontal="left" vertical="center"/>
    </xf>
    <xf numFmtId="0" fontId="54" fillId="0" borderId="0" xfId="55" applyFont="1" applyBorder="1" applyAlignment="1">
      <alignment horizontal="center" vertical="center"/>
    </xf>
    <xf numFmtId="0" fontId="5" fillId="2" borderId="0" xfId="78" applyFill="1" applyAlignment="1">
      <alignment horizontal="center" vertical="center"/>
    </xf>
    <xf numFmtId="0" fontId="68" fillId="2" borderId="0" xfId="65" applyFont="1" applyFill="1">
      <alignment horizontal="center" vertical="center"/>
      <protection locked="0"/>
    </xf>
    <xf numFmtId="179" fontId="61" fillId="2" borderId="0" xfId="68" quotePrefix="1" applyNumberFormat="1" applyFont="1" applyFill="1" applyAlignment="1">
      <alignment horizontal="right" vertical="center"/>
    </xf>
    <xf numFmtId="168" fontId="43" fillId="2" borderId="0" xfId="68" applyFont="1" applyFill="1">
      <alignment vertical="center"/>
    </xf>
    <xf numFmtId="0" fontId="66" fillId="0" borderId="0" xfId="72" applyFont="1" applyAlignment="1">
      <alignment horizontal="left" vertical="center"/>
    </xf>
    <xf numFmtId="0" fontId="66" fillId="0" borderId="0" xfId="72" applyFont="1" applyAlignment="1">
      <alignment horizontal="right" vertical="center"/>
    </xf>
    <xf numFmtId="178" fontId="43" fillId="0" borderId="0" xfId="67" applyFont="1" applyAlignment="1">
      <alignment horizontal="right" vertical="center"/>
    </xf>
    <xf numFmtId="177" fontId="65" fillId="0" borderId="0" xfId="66" applyFont="1" applyAlignment="1">
      <alignment horizontal="right" vertical="center"/>
    </xf>
    <xf numFmtId="0" fontId="64" fillId="0" borderId="0" xfId="56" applyFont="1" applyAlignment="1">
      <alignment horizontal="right" vertical="center"/>
    </xf>
    <xf numFmtId="172" fontId="43" fillId="0" borderId="0" xfId="68" applyNumberFormat="1" applyFont="1" applyAlignment="1">
      <alignment horizontal="right" vertical="center"/>
    </xf>
    <xf numFmtId="0" fontId="66" fillId="0" borderId="2" xfId="72" applyFont="1" applyBorder="1" applyAlignment="1">
      <alignment horizontal="left" vertical="center"/>
    </xf>
    <xf numFmtId="0" fontId="66" fillId="0" borderId="2" xfId="72" applyFont="1" applyBorder="1" applyAlignment="1">
      <alignment horizontal="right" vertical="center"/>
    </xf>
    <xf numFmtId="0" fontId="55" fillId="0" borderId="2" xfId="56" applyFont="1" applyBorder="1" applyAlignment="1">
      <alignment horizontal="left" vertical="center"/>
    </xf>
    <xf numFmtId="168" fontId="65" fillId="0" borderId="2" xfId="68" applyFont="1" applyBorder="1" applyAlignment="1">
      <alignment horizontal="right" vertical="center"/>
    </xf>
    <xf numFmtId="0" fontId="56" fillId="0" borderId="0" xfId="54" applyFont="1">
      <alignment vertical="center"/>
    </xf>
    <xf numFmtId="168" fontId="43" fillId="0" borderId="0" xfId="68" applyFont="1">
      <alignment vertical="center"/>
    </xf>
    <xf numFmtId="172" fontId="43" fillId="0" borderId="0" xfId="68" applyNumberFormat="1" applyFont="1">
      <alignment vertical="center"/>
    </xf>
    <xf numFmtId="168" fontId="43" fillId="0" borderId="2" xfId="68" applyFont="1" applyBorder="1">
      <alignment vertical="center"/>
    </xf>
    <xf numFmtId="168" fontId="44" fillId="0" borderId="0" xfId="68" applyFont="1">
      <alignment vertical="center"/>
    </xf>
    <xf numFmtId="176" fontId="44" fillId="0" borderId="4" xfId="68" applyNumberFormat="1" applyFont="1" applyBorder="1" applyAlignment="1">
      <alignment horizontal="right" vertical="center"/>
    </xf>
    <xf numFmtId="0" fontId="38" fillId="0" borderId="0" xfId="53" applyFont="1">
      <alignment vertical="center"/>
    </xf>
    <xf numFmtId="169" fontId="65" fillId="0" borderId="0" xfId="69" applyFont="1">
      <alignment vertical="center"/>
    </xf>
    <xf numFmtId="172" fontId="65" fillId="0" borderId="0" xfId="68" applyNumberFormat="1" applyFont="1">
      <alignment vertical="center"/>
    </xf>
    <xf numFmtId="0" fontId="62" fillId="0" borderId="1" xfId="73" applyFont="1">
      <alignment horizontal="center" vertical="center"/>
    </xf>
    <xf numFmtId="0" fontId="61" fillId="0" borderId="1" xfId="75" applyFont="1">
      <alignment horizontal="center" vertical="center"/>
    </xf>
    <xf numFmtId="0" fontId="50" fillId="0" borderId="0" xfId="82" applyFont="1" applyAlignment="1">
      <alignment horizontal="center" vertical="center"/>
    </xf>
    <xf numFmtId="0" fontId="5" fillId="0" borderId="0" xfId="77" applyBorder="1">
      <alignment horizontal="center" vertical="center"/>
    </xf>
    <xf numFmtId="0" fontId="45" fillId="0" borderId="0" xfId="76">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42" fillId="0" borderId="0" xfId="56" applyFont="1" applyAlignment="1">
      <alignment horizontal="center" vertical="center"/>
    </xf>
    <xf numFmtId="0" fontId="13" fillId="0" borderId="0" xfId="98">
      <alignment vertical="center"/>
    </xf>
    <xf numFmtId="0" fontId="55" fillId="0" borderId="0" xfId="56" applyFont="1" applyAlignment="1">
      <alignment horizontal="left" vertical="center"/>
    </xf>
    <xf numFmtId="0" fontId="57" fillId="2" borderId="0" xfId="53" applyFont="1" applyFill="1">
      <alignment vertical="center"/>
    </xf>
    <xf numFmtId="168" fontId="61" fillId="0" borderId="10" xfId="61" applyFont="1">
      <alignment vertical="center"/>
      <protection locked="0"/>
    </xf>
    <xf numFmtId="172" fontId="72" fillId="0" borderId="0" xfId="68" applyNumberFormat="1" applyFont="1">
      <alignment vertical="center"/>
    </xf>
    <xf numFmtId="0" fontId="64" fillId="0" borderId="0" xfId="56" applyFont="1">
      <alignment vertical="center"/>
    </xf>
    <xf numFmtId="0" fontId="73" fillId="0" borderId="0" xfId="56" applyFont="1">
      <alignment vertical="center"/>
    </xf>
    <xf numFmtId="169" fontId="43" fillId="0" borderId="0" xfId="69" applyFont="1">
      <alignment vertical="center"/>
    </xf>
    <xf numFmtId="0" fontId="57" fillId="0" borderId="0" xfId="53" applyFont="1">
      <alignment vertical="center"/>
    </xf>
    <xf numFmtId="0" fontId="40" fillId="0" borderId="0" xfId="54" applyFont="1">
      <alignment vertical="center"/>
    </xf>
    <xf numFmtId="168" fontId="43" fillId="0" borderId="0" xfId="68" applyFont="1" applyBorder="1">
      <alignment vertical="center"/>
    </xf>
    <xf numFmtId="168" fontId="43" fillId="0" borderId="3" xfId="68" applyFont="1" applyBorder="1">
      <alignment vertical="center"/>
    </xf>
    <xf numFmtId="168" fontId="65" fillId="0" borderId="3" xfId="68" applyFont="1" applyBorder="1">
      <alignment vertical="center"/>
    </xf>
    <xf numFmtId="172" fontId="65" fillId="0" borderId="3" xfId="68" applyNumberFormat="1" applyFont="1" applyBorder="1">
      <alignment vertical="center"/>
    </xf>
    <xf numFmtId="0" fontId="75" fillId="0" borderId="0" xfId="54" applyFont="1">
      <alignment vertical="center"/>
    </xf>
    <xf numFmtId="168" fontId="72" fillId="0" borderId="0" xfId="68" applyFont="1" applyBorder="1">
      <alignment vertical="center"/>
    </xf>
    <xf numFmtId="168" fontId="44" fillId="0" borderId="6" xfId="68" applyFont="1" applyBorder="1">
      <alignment vertical="center"/>
    </xf>
    <xf numFmtId="0" fontId="75" fillId="2" borderId="0" xfId="54" applyFont="1" applyFill="1">
      <alignment vertical="center"/>
    </xf>
    <xf numFmtId="168" fontId="44" fillId="2" borderId="6" xfId="68" applyFont="1" applyFill="1" applyBorder="1">
      <alignment vertical="center"/>
    </xf>
    <xf numFmtId="0" fontId="64" fillId="2" borderId="0" xfId="56" applyFont="1" applyFill="1">
      <alignment vertical="center"/>
    </xf>
    <xf numFmtId="174" fontId="43" fillId="0" borderId="0" xfId="69" applyNumberFormat="1" applyFont="1">
      <alignment vertical="center"/>
    </xf>
    <xf numFmtId="174" fontId="61" fillId="0" borderId="10" xfId="62" applyNumberFormat="1" applyFont="1">
      <alignment vertical="center"/>
      <protection locked="0"/>
    </xf>
    <xf numFmtId="174" fontId="43" fillId="2" borderId="6" xfId="69" applyNumberFormat="1" applyFont="1" applyFill="1" applyBorder="1">
      <alignment vertical="center"/>
    </xf>
    <xf numFmtId="0" fontId="59" fillId="2" borderId="0" xfId="55" applyFont="1" applyFill="1">
      <alignment vertical="center"/>
    </xf>
    <xf numFmtId="174" fontId="43" fillId="0" borderId="6" xfId="69" applyNumberFormat="1" applyFont="1" applyBorder="1">
      <alignment vertical="center"/>
    </xf>
    <xf numFmtId="0" fontId="59" fillId="0" borderId="0" xfId="55" applyFont="1">
      <alignment vertical="center"/>
    </xf>
    <xf numFmtId="0" fontId="61" fillId="0" borderId="10" xfId="58" applyFont="1" applyAlignment="1">
      <alignment horizontal="center" vertical="center"/>
      <protection locked="0"/>
    </xf>
    <xf numFmtId="179" fontId="61" fillId="0" borderId="0" xfId="68" quotePrefix="1" applyNumberFormat="1" applyFont="1" applyFill="1" applyAlignment="1">
      <alignment horizontal="right" vertical="center"/>
    </xf>
    <xf numFmtId="168" fontId="44" fillId="0" borderId="8" xfId="68" applyFont="1" applyBorder="1">
      <alignment vertical="center"/>
    </xf>
    <xf numFmtId="168" fontId="44" fillId="0" borderId="9" xfId="68" applyFont="1" applyBorder="1">
      <alignment vertical="center"/>
    </xf>
    <xf numFmtId="172" fontId="43" fillId="0" borderId="0" xfId="68" applyNumberFormat="1" applyFont="1" applyBorder="1">
      <alignment vertical="center"/>
    </xf>
    <xf numFmtId="172" fontId="65" fillId="0" borderId="0" xfId="68" applyNumberFormat="1" applyFont="1" applyBorder="1">
      <alignment vertical="center"/>
    </xf>
    <xf numFmtId="168" fontId="43" fillId="0" borderId="0" xfId="68" applyFont="1" applyFill="1">
      <alignment vertical="center"/>
    </xf>
    <xf numFmtId="168" fontId="43" fillId="0" borderId="2" xfId="68" applyFont="1" applyFill="1" applyBorder="1">
      <alignment vertical="center"/>
    </xf>
    <xf numFmtId="168" fontId="65" fillId="0" borderId="7" xfId="68" applyFont="1" applyBorder="1">
      <alignment vertical="center"/>
    </xf>
    <xf numFmtId="0" fontId="55" fillId="0" borderId="0" xfId="56" applyFont="1" applyFill="1">
      <alignment vertical="center"/>
    </xf>
    <xf numFmtId="0" fontId="55" fillId="0" borderId="0" xfId="56" applyFont="1">
      <alignment vertical="center"/>
    </xf>
    <xf numFmtId="0" fontId="10" fillId="0" borderId="0" xfId="105" applyFill="1">
      <alignment vertical="center"/>
    </xf>
    <xf numFmtId="0" fontId="44" fillId="0" borderId="0" xfId="72" applyFont="1" applyFill="1">
      <alignment vertical="center"/>
    </xf>
    <xf numFmtId="0" fontId="44" fillId="0" borderId="0" xfId="72" applyFont="1" applyFill="1" applyAlignment="1">
      <alignment horizontal="right" vertical="center"/>
    </xf>
    <xf numFmtId="0" fontId="10" fillId="0" borderId="0" xfId="89" applyFill="1">
      <alignment vertical="center"/>
    </xf>
    <xf numFmtId="168" fontId="10" fillId="0" borderId="0" xfId="91" applyFill="1">
      <alignment vertical="center"/>
    </xf>
    <xf numFmtId="168" fontId="30" fillId="0" borderId="6" xfId="91" applyFont="1" applyFill="1" applyBorder="1">
      <alignment vertical="center"/>
    </xf>
    <xf numFmtId="168" fontId="30" fillId="0" borderId="8" xfId="91" applyFont="1" applyFill="1" applyBorder="1">
      <alignment vertical="center"/>
    </xf>
    <xf numFmtId="0" fontId="30" fillId="0" borderId="0" xfId="88" applyFill="1">
      <alignment vertical="center"/>
    </xf>
    <xf numFmtId="168" fontId="30" fillId="0" borderId="9" xfId="91" applyFont="1" applyFill="1" applyBorder="1">
      <alignment vertical="center"/>
    </xf>
    <xf numFmtId="0" fontId="30" fillId="0" borderId="2" xfId="97" applyBorder="1">
      <alignment vertical="center"/>
    </xf>
    <xf numFmtId="0" fontId="44" fillId="0" borderId="2" xfId="72" applyFont="1" applyFill="1" applyBorder="1">
      <alignment vertical="center"/>
    </xf>
    <xf numFmtId="0" fontId="43" fillId="0" borderId="1" xfId="75" applyFont="1" applyAlignment="1">
      <alignment horizontal="center" vertical="center"/>
    </xf>
    <xf numFmtId="0" fontId="44" fillId="0" borderId="2" xfId="72" applyFont="1" applyBorder="1" applyAlignment="1">
      <alignment horizontal="right" vertical="center"/>
    </xf>
    <xf numFmtId="0" fontId="54" fillId="0" borderId="0" xfId="55" applyFont="1">
      <alignment vertical="center"/>
    </xf>
    <xf numFmtId="168" fontId="62" fillId="0" borderId="0" xfId="68" applyFont="1">
      <alignment vertical="center"/>
    </xf>
    <xf numFmtId="168" fontId="61" fillId="0" borderId="30" xfId="68" applyFont="1" applyBorder="1">
      <alignment vertical="center"/>
    </xf>
    <xf numFmtId="168" fontId="43" fillId="0" borderId="31" xfId="68" applyFont="1" applyBorder="1">
      <alignment vertical="center"/>
    </xf>
    <xf numFmtId="168" fontId="43" fillId="0" borderId="32" xfId="68" applyFont="1" applyBorder="1">
      <alignment vertical="center"/>
    </xf>
    <xf numFmtId="0" fontId="10" fillId="0" borderId="0" xfId="105" applyFill="1" applyBorder="1">
      <alignment vertical="center"/>
    </xf>
    <xf numFmtId="0" fontId="55" fillId="0" borderId="0" xfId="56" applyFont="1">
      <alignment vertical="center"/>
    </xf>
    <xf numFmtId="0" fontId="54" fillId="0" borderId="0" xfId="55" applyFont="1">
      <alignment vertical="center"/>
    </xf>
    <xf numFmtId="0" fontId="0" fillId="2" borderId="0" xfId="0" applyFill="1">
      <alignment vertical="center"/>
    </xf>
    <xf numFmtId="0" fontId="55" fillId="0" borderId="0" xfId="56" applyFont="1">
      <alignment vertical="center"/>
    </xf>
    <xf numFmtId="0" fontId="54" fillId="0" borderId="0" xfId="55" applyFont="1">
      <alignment vertical="center"/>
    </xf>
    <xf numFmtId="0" fontId="55" fillId="0" borderId="0" xfId="56" applyFont="1" applyBorder="1">
      <alignment vertical="center"/>
    </xf>
    <xf numFmtId="0" fontId="77" fillId="0" borderId="0" xfId="56" applyFont="1">
      <alignment vertical="center"/>
    </xf>
    <xf numFmtId="0" fontId="55" fillId="2" borderId="0" xfId="56" applyFont="1" applyFill="1" applyAlignment="1">
      <alignment vertical="center" wrapText="1"/>
    </xf>
    <xf numFmtId="180" fontId="0" fillId="0" borderId="0" xfId="0" applyNumberFormat="1">
      <alignment vertical="center"/>
    </xf>
    <xf numFmtId="168" fontId="43" fillId="0" borderId="3" xfId="68" applyFont="1" applyFill="1" applyBorder="1">
      <alignment vertical="center"/>
    </xf>
    <xf numFmtId="0" fontId="55" fillId="0" borderId="0" xfId="56" applyFont="1" applyAlignment="1">
      <alignment horizontal="left" vertical="center"/>
    </xf>
    <xf numFmtId="0" fontId="10" fillId="0" borderId="0" xfId="89">
      <alignment vertical="center"/>
    </xf>
    <xf numFmtId="0" fontId="41" fillId="0" borderId="0" xfId="55" applyFont="1" applyFill="1">
      <alignment vertical="center"/>
    </xf>
    <xf numFmtId="0" fontId="30" fillId="0" borderId="0" xfId="88">
      <alignment vertical="center"/>
    </xf>
    <xf numFmtId="0" fontId="0" fillId="2" borderId="0" xfId="0" applyFill="1">
      <alignment vertical="center"/>
    </xf>
    <xf numFmtId="0" fontId="55" fillId="0" borderId="0" xfId="56" applyFont="1" applyAlignment="1">
      <alignment horizontal="left" vertical="center"/>
    </xf>
    <xf numFmtId="0" fontId="7" fillId="0" borderId="0" xfId="0" applyFont="1" applyFill="1" applyAlignment="1">
      <alignment vertical="top" wrapText="1"/>
    </xf>
    <xf numFmtId="0" fontId="55" fillId="0" borderId="0" xfId="56" applyFont="1" applyFill="1">
      <alignment vertical="center"/>
    </xf>
    <xf numFmtId="0" fontId="42" fillId="0" borderId="0" xfId="56" applyFont="1" applyFill="1">
      <alignment vertical="center"/>
    </xf>
    <xf numFmtId="0" fontId="55" fillId="0" borderId="0" xfId="56" applyFont="1" applyAlignment="1">
      <alignment horizontal="left" vertical="center"/>
    </xf>
    <xf numFmtId="0" fontId="0" fillId="2" borderId="0" xfId="0" applyFill="1">
      <alignment vertical="center"/>
    </xf>
    <xf numFmtId="178" fontId="66" fillId="2" borderId="0" xfId="72" applyNumberFormat="1" applyFont="1" applyFill="1" applyAlignment="1">
      <alignment horizontal="right" vertical="center"/>
    </xf>
    <xf numFmtId="177" fontId="65" fillId="2" borderId="0" xfId="66" applyNumberFormat="1" applyFont="1" applyFill="1" applyAlignment="1">
      <alignment horizontal="right" vertical="center"/>
    </xf>
    <xf numFmtId="0" fontId="64" fillId="2" borderId="2" xfId="56" applyFont="1" applyFill="1" applyBorder="1" applyAlignment="1">
      <alignment horizontal="right" vertical="center"/>
    </xf>
    <xf numFmtId="0" fontId="42" fillId="2" borderId="0" xfId="56" applyFont="1" applyFill="1">
      <alignment vertical="center"/>
    </xf>
    <xf numFmtId="168" fontId="44" fillId="2" borderId="9" xfId="68" applyFont="1" applyFill="1" applyBorder="1">
      <alignment vertical="center"/>
    </xf>
    <xf numFmtId="0" fontId="9" fillId="2" borderId="0" xfId="0" applyFont="1" applyFill="1" applyAlignment="1">
      <alignment horizontal="left" vertical="center"/>
    </xf>
    <xf numFmtId="168" fontId="44" fillId="2" borderId="8" xfId="68" applyFont="1" applyFill="1" applyBorder="1">
      <alignment vertical="center"/>
    </xf>
    <xf numFmtId="176" fontId="44" fillId="2" borderId="4" xfId="68" applyNumberFormat="1" applyFont="1" applyFill="1" applyBorder="1" applyAlignment="1">
      <alignment horizontal="right" vertical="center"/>
    </xf>
    <xf numFmtId="172" fontId="43" fillId="2" borderId="0" xfId="68" applyNumberFormat="1" applyFont="1" applyFill="1">
      <alignment vertical="center"/>
    </xf>
    <xf numFmtId="168" fontId="61" fillId="0" borderId="33" xfId="61" applyFont="1" applyBorder="1">
      <alignment vertical="center"/>
      <protection locked="0"/>
    </xf>
    <xf numFmtId="168" fontId="43" fillId="2" borderId="34" xfId="68" applyFont="1" applyFill="1" applyBorder="1">
      <alignment vertical="center"/>
    </xf>
    <xf numFmtId="172" fontId="43" fillId="2" borderId="0" xfId="68" applyNumberFormat="1" applyFont="1" applyFill="1" applyBorder="1">
      <alignment vertical="center"/>
    </xf>
    <xf numFmtId="172" fontId="65" fillId="2" borderId="3" xfId="68" applyNumberFormat="1" applyFont="1" applyFill="1" applyBorder="1">
      <alignment vertical="center"/>
    </xf>
    <xf numFmtId="168" fontId="43" fillId="2" borderId="35" xfId="68" applyFont="1" applyFill="1" applyBorder="1">
      <alignment vertical="center"/>
    </xf>
    <xf numFmtId="0" fontId="55" fillId="0" borderId="0" xfId="56" applyFont="1" applyFill="1">
      <alignment vertical="center"/>
    </xf>
    <xf numFmtId="0" fontId="42" fillId="0" borderId="0" xfId="56" applyFont="1" applyFill="1">
      <alignment vertical="center"/>
    </xf>
    <xf numFmtId="0" fontId="0" fillId="2" borderId="0" xfId="0" applyFill="1">
      <alignment vertical="center"/>
    </xf>
    <xf numFmtId="0" fontId="55" fillId="0" borderId="0" xfId="56" applyFont="1" applyAlignment="1">
      <alignment horizontal="left" vertical="center"/>
    </xf>
    <xf numFmtId="0" fontId="54" fillId="2" borderId="0" xfId="55" applyFont="1" applyFill="1" applyAlignment="1">
      <alignment horizontal="center" vertical="center"/>
    </xf>
    <xf numFmtId="178" fontId="44" fillId="2" borderId="2" xfId="67" applyFont="1" applyFill="1" applyBorder="1" applyAlignment="1">
      <alignment horizontal="center" vertical="center"/>
    </xf>
    <xf numFmtId="178" fontId="66" fillId="0" borderId="0" xfId="72" applyNumberFormat="1" applyFont="1" applyAlignment="1">
      <alignment horizontal="right" vertical="center"/>
    </xf>
    <xf numFmtId="177" fontId="65" fillId="0" borderId="0" xfId="66" applyNumberFormat="1" applyFont="1" applyAlignment="1">
      <alignment horizontal="right" vertical="center"/>
    </xf>
    <xf numFmtId="0" fontId="64" fillId="0" borderId="2" xfId="56" applyFont="1" applyBorder="1" applyAlignment="1">
      <alignment horizontal="right" vertical="center"/>
    </xf>
    <xf numFmtId="168" fontId="44" fillId="0" borderId="9" xfId="68" applyFont="1" applyFill="1" applyBorder="1">
      <alignment vertical="center"/>
    </xf>
    <xf numFmtId="168" fontId="43" fillId="0" borderId="34" xfId="68" applyFont="1" applyFill="1" applyBorder="1">
      <alignment vertical="center"/>
    </xf>
    <xf numFmtId="168" fontId="44" fillId="0" borderId="8" xfId="68" applyFont="1" applyFill="1" applyBorder="1">
      <alignment vertical="center"/>
    </xf>
    <xf numFmtId="0" fontId="64" fillId="0" borderId="0" xfId="56" applyFont="1" applyFill="1">
      <alignment vertical="center"/>
    </xf>
    <xf numFmtId="0" fontId="38" fillId="0" borderId="0" xfId="53" applyFont="1" applyFill="1">
      <alignment vertical="center"/>
    </xf>
    <xf numFmtId="0" fontId="40" fillId="0" borderId="0" xfId="54" applyFont="1" applyFill="1">
      <alignment vertical="center"/>
    </xf>
    <xf numFmtId="0" fontId="3" fillId="0" borderId="0" xfId="0" applyFont="1" applyFill="1" applyAlignment="1">
      <alignment horizontal="left" vertical="center"/>
    </xf>
    <xf numFmtId="179" fontId="43" fillId="0" borderId="0" xfId="68" quotePrefix="1" applyNumberFormat="1" applyFont="1" applyFill="1" applyAlignment="1">
      <alignment horizontal="right" vertical="center"/>
    </xf>
    <xf numFmtId="168" fontId="43" fillId="0" borderId="0" xfId="68" applyFont="1" applyFill="1" applyBorder="1">
      <alignment vertical="center"/>
    </xf>
    <xf numFmtId="180" fontId="0" fillId="0" borderId="0" xfId="0" applyNumberFormat="1" applyFill="1">
      <alignment vertical="center"/>
    </xf>
    <xf numFmtId="172" fontId="43" fillId="0" borderId="0" xfId="68" applyNumberFormat="1" applyFont="1" applyFill="1" applyBorder="1">
      <alignment vertical="center"/>
    </xf>
    <xf numFmtId="172" fontId="65" fillId="0" borderId="3" xfId="68" applyNumberFormat="1" applyFont="1" applyFill="1" applyBorder="1">
      <alignment vertical="center"/>
    </xf>
    <xf numFmtId="176" fontId="44" fillId="0" borderId="4" xfId="68" applyNumberFormat="1" applyFont="1" applyFill="1" applyBorder="1" applyAlignment="1">
      <alignment horizontal="right" vertical="center"/>
    </xf>
    <xf numFmtId="172" fontId="43" fillId="0" borderId="0" xfId="68" applyNumberFormat="1" applyFont="1" applyFill="1">
      <alignment vertical="center"/>
    </xf>
    <xf numFmtId="168" fontId="44" fillId="0" borderId="0" xfId="68" applyFont="1" applyFill="1" applyBorder="1">
      <alignment vertical="center"/>
    </xf>
    <xf numFmtId="0" fontId="54" fillId="0" borderId="0" xfId="55" applyFont="1" applyAlignment="1">
      <alignment horizontal="center" vertical="center"/>
    </xf>
    <xf numFmtId="178" fontId="44" fillId="0" borderId="2" xfId="67" applyFont="1" applyBorder="1" applyAlignment="1">
      <alignment horizontal="center" vertical="center"/>
    </xf>
    <xf numFmtId="0" fontId="42" fillId="0" borderId="0" xfId="56" applyFont="1" applyFill="1">
      <alignment vertical="center"/>
    </xf>
    <xf numFmtId="0" fontId="0" fillId="2" borderId="0" xfId="0" applyFill="1">
      <alignment vertical="center"/>
    </xf>
    <xf numFmtId="172" fontId="61" fillId="0" borderId="19" xfId="61" applyNumberFormat="1" applyFont="1" applyBorder="1">
      <alignment vertical="center"/>
      <protection locked="0"/>
    </xf>
    <xf numFmtId="168" fontId="43" fillId="2" borderId="0" xfId="68" applyFont="1" applyFill="1" applyBorder="1">
      <alignment vertical="center"/>
    </xf>
    <xf numFmtId="0" fontId="62" fillId="2" borderId="0" xfId="72" applyFont="1" applyFill="1" applyBorder="1" applyAlignment="1">
      <alignment horizontal="right" vertical="center"/>
    </xf>
    <xf numFmtId="169" fontId="74" fillId="0" borderId="0" xfId="69" applyFont="1" applyAlignment="1">
      <alignment horizontal="right" vertical="center"/>
    </xf>
    <xf numFmtId="0" fontId="40" fillId="2" borderId="0" xfId="54" applyFont="1" applyFill="1">
      <alignment vertical="center"/>
    </xf>
    <xf numFmtId="178" fontId="44" fillId="2" borderId="0" xfId="67" applyFont="1" applyFill="1" applyBorder="1" applyAlignment="1">
      <alignment horizontal="right" vertical="center"/>
    </xf>
    <xf numFmtId="168" fontId="43" fillId="2" borderId="1" xfId="68" applyFont="1" applyFill="1" applyBorder="1">
      <alignment vertical="center"/>
    </xf>
    <xf numFmtId="0" fontId="0" fillId="0" borderId="3" xfId="0" applyFill="1" applyBorder="1">
      <alignment vertical="center"/>
    </xf>
    <xf numFmtId="181" fontId="0" fillId="0" borderId="0" xfId="0" applyNumberFormat="1" applyFill="1">
      <alignment vertical="center"/>
    </xf>
    <xf numFmtId="168" fontId="43" fillId="2" borderId="36" xfId="68" applyFont="1" applyFill="1" applyBorder="1">
      <alignment vertical="center"/>
    </xf>
    <xf numFmtId="0" fontId="42" fillId="0" borderId="0" xfId="56" applyFont="1" applyBorder="1">
      <alignment vertical="center"/>
    </xf>
    <xf numFmtId="168" fontId="44" fillId="2" borderId="0" xfId="68" applyFont="1" applyFill="1" applyBorder="1">
      <alignment vertical="center"/>
    </xf>
    <xf numFmtId="168" fontId="43" fillId="2" borderId="3" xfId="68" applyFont="1" applyFill="1" applyBorder="1">
      <alignment vertical="center"/>
    </xf>
    <xf numFmtId="168" fontId="61" fillId="0" borderId="37" xfId="61" applyFont="1" applyBorder="1">
      <alignment vertical="center"/>
      <protection locked="0"/>
    </xf>
    <xf numFmtId="0" fontId="75" fillId="0" borderId="0" xfId="54" applyFont="1" applyFill="1">
      <alignment vertical="center"/>
    </xf>
    <xf numFmtId="0" fontId="61" fillId="0" borderId="0" xfId="0" applyFont="1">
      <alignment vertical="center"/>
    </xf>
    <xf numFmtId="172" fontId="65" fillId="2" borderId="0" xfId="68" applyNumberFormat="1" applyFont="1" applyFill="1" applyBorder="1">
      <alignment vertical="center"/>
    </xf>
    <xf numFmtId="172" fontId="65" fillId="0" borderId="0" xfId="68" applyNumberFormat="1" applyFont="1" applyFill="1" applyBorder="1">
      <alignment vertical="center"/>
    </xf>
    <xf numFmtId="0" fontId="0" fillId="2" borderId="0" xfId="0" applyFill="1">
      <alignment vertical="center"/>
    </xf>
    <xf numFmtId="0" fontId="55" fillId="2" borderId="0" xfId="56" applyFont="1" applyFill="1" applyAlignment="1">
      <alignment vertical="center" wrapText="1"/>
    </xf>
    <xf numFmtId="0" fontId="55" fillId="2" borderId="0" xfId="56" applyFont="1" applyFill="1" applyAlignment="1">
      <alignment vertical="center"/>
    </xf>
    <xf numFmtId="0" fontId="64" fillId="0" borderId="0" xfId="56" applyFont="1" applyAlignment="1">
      <alignment horizontal="center" vertical="center"/>
    </xf>
    <xf numFmtId="0" fontId="57" fillId="0" borderId="2" xfId="53" applyFont="1" applyBorder="1" applyAlignment="1">
      <alignment horizontal="left" vertical="center"/>
    </xf>
    <xf numFmtId="0" fontId="57" fillId="0" borderId="2" xfId="53" applyFont="1" applyBorder="1" applyAlignment="1">
      <alignment horizontal="center" vertical="center"/>
    </xf>
    <xf numFmtId="172" fontId="78" fillId="0" borderId="0" xfId="79" applyNumberFormat="1" applyFont="1" applyAlignment="1">
      <alignment horizontal="center" vertical="center"/>
    </xf>
    <xf numFmtId="172" fontId="79" fillId="0" borderId="0" xfId="80" applyNumberFormat="1" applyFont="1" applyAlignment="1">
      <alignment horizontal="center" vertical="center"/>
    </xf>
    <xf numFmtId="172" fontId="50" fillId="0" borderId="0" xfId="81" applyNumberFormat="1" applyFont="1" applyAlignment="1">
      <alignment horizontal="center" vertical="center"/>
    </xf>
    <xf numFmtId="172" fontId="54" fillId="0" borderId="6" xfId="56" applyNumberFormat="1" applyFont="1" applyBorder="1" applyAlignment="1">
      <alignment horizontal="center" vertical="center"/>
    </xf>
    <xf numFmtId="0" fontId="55" fillId="0" borderId="0" xfId="56" applyFont="1" applyAlignment="1">
      <alignment horizontal="left" vertical="center"/>
    </xf>
    <xf numFmtId="0" fontId="45" fillId="0" borderId="0" xfId="76">
      <alignment vertical="center"/>
    </xf>
    <xf numFmtId="0" fontId="0" fillId="0" borderId="0" xfId="0" applyFill="1" applyAlignment="1">
      <alignment vertical="top"/>
    </xf>
    <xf numFmtId="0" fontId="55" fillId="0" borderId="0" xfId="56" applyFont="1" applyAlignment="1">
      <alignment horizontal="center" vertical="center"/>
    </xf>
    <xf numFmtId="0" fontId="81" fillId="0" borderId="1" xfId="65" applyFont="1" applyBorder="1" applyAlignment="1">
      <alignment horizontal="center" vertical="center"/>
      <protection locked="0"/>
    </xf>
    <xf numFmtId="0" fontId="5" fillId="0" borderId="0" xfId="78" applyAlignment="1">
      <alignment horizontal="center" vertical="center"/>
    </xf>
    <xf numFmtId="0" fontId="45" fillId="0" borderId="0" xfId="76">
      <alignment vertical="center"/>
    </xf>
    <xf numFmtId="0" fontId="5" fillId="0" borderId="0" xfId="78" applyAlignment="1">
      <alignment horizontal="center" vertical="center"/>
    </xf>
    <xf numFmtId="0" fontId="5" fillId="0" borderId="2" xfId="77" applyBorder="1" applyAlignment="1">
      <alignment horizontal="left" vertical="center"/>
    </xf>
    <xf numFmtId="0" fontId="5" fillId="0" borderId="2" xfId="78" applyBorder="1" applyAlignment="1">
      <alignment horizontal="center" vertical="center"/>
    </xf>
    <xf numFmtId="0" fontId="5" fillId="0" borderId="2" xfId="78" applyBorder="1" applyAlignment="1">
      <alignment horizontal="left" vertical="center"/>
    </xf>
    <xf numFmtId="0" fontId="5" fillId="0" borderId="3" xfId="77" applyBorder="1" applyAlignment="1">
      <alignment horizontal="left" vertical="center"/>
    </xf>
    <xf numFmtId="0" fontId="5" fillId="0" borderId="3" xfId="78" applyBorder="1" applyAlignment="1">
      <alignment horizontal="center" vertical="center"/>
    </xf>
    <xf numFmtId="0" fontId="5" fillId="0" borderId="3" xfId="78" applyBorder="1" applyAlignment="1">
      <alignment horizontal="left" vertical="center"/>
    </xf>
    <xf numFmtId="0" fontId="45" fillId="0" borderId="0" xfId="76">
      <alignment vertical="center"/>
    </xf>
    <xf numFmtId="0" fontId="55" fillId="0" borderId="0" xfId="56" applyFont="1" applyAlignment="1">
      <alignment vertical="center" wrapText="1"/>
    </xf>
    <xf numFmtId="0" fontId="50" fillId="0" borderId="0" xfId="81" quotePrefix="1" applyAlignment="1">
      <alignment horizontal="right" vertical="center"/>
    </xf>
    <xf numFmtId="0" fontId="50" fillId="0" borderId="0" xfId="81">
      <alignment vertical="center"/>
    </xf>
    <xf numFmtId="173" fontId="47" fillId="0" borderId="0" xfId="79" applyNumberFormat="1" applyAlignment="1">
      <alignment horizontal="right" vertical="center"/>
    </xf>
    <xf numFmtId="0" fontId="47" fillId="0" borderId="0" xfId="79">
      <alignment vertical="center"/>
    </xf>
    <xf numFmtId="0" fontId="49" fillId="0" borderId="0" xfId="80">
      <alignment vertical="center"/>
    </xf>
    <xf numFmtId="0" fontId="50" fillId="0" borderId="0" xfId="82">
      <alignment vertical="center"/>
    </xf>
    <xf numFmtId="0" fontId="49" fillId="0" borderId="0" xfId="80" applyAlignment="1">
      <alignment horizontal="right" vertical="center"/>
    </xf>
    <xf numFmtId="0" fontId="55" fillId="0" borderId="0" xfId="56" applyFont="1" applyFill="1" applyAlignment="1">
      <alignment vertical="top" wrapText="1"/>
    </xf>
    <xf numFmtId="0" fontId="55" fillId="0" borderId="0" xfId="56" applyFont="1" applyFill="1">
      <alignment vertical="center"/>
    </xf>
    <xf numFmtId="0" fontId="45" fillId="0" borderId="0" xfId="76" applyFill="1">
      <alignment vertical="center"/>
    </xf>
    <xf numFmtId="0" fontId="54" fillId="0" borderId="0" xfId="55"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6" fillId="0" borderId="0" xfId="0" quotePrefix="1" applyFont="1" applyFill="1" applyAlignment="1">
      <alignment horizontal="right" vertical="top"/>
    </xf>
    <xf numFmtId="0" fontId="55" fillId="0" borderId="0" xfId="56" quotePrefix="1" applyFont="1" applyFill="1" applyAlignment="1">
      <alignment vertical="top"/>
    </xf>
    <xf numFmtId="0" fontId="55" fillId="0" borderId="0" xfId="56" applyFont="1" applyAlignment="1">
      <alignment horizontal="left" vertical="center"/>
    </xf>
    <xf numFmtId="0" fontId="55" fillId="0" borderId="0" xfId="56" applyFont="1" applyAlignment="1">
      <alignment horizontal="center" vertical="center"/>
    </xf>
    <xf numFmtId="0" fontId="56" fillId="0" borderId="2" xfId="54" applyFont="1" applyBorder="1" applyAlignment="1">
      <alignment horizontal="center" vertical="center"/>
    </xf>
    <xf numFmtId="0" fontId="55" fillId="0" borderId="0" xfId="56" applyFont="1" applyAlignment="1">
      <alignment horizontal="center" vertical="top"/>
    </xf>
    <xf numFmtId="0" fontId="55" fillId="0" borderId="0" xfId="56" applyFont="1" applyAlignment="1">
      <alignment horizontal="left" vertical="top" wrapText="1"/>
    </xf>
    <xf numFmtId="0" fontId="41" fillId="0" borderId="0" xfId="55" applyFont="1" applyAlignment="1">
      <alignment horizontal="center" vertical="top"/>
    </xf>
    <xf numFmtId="0" fontId="59" fillId="0" borderId="0" xfId="55" applyFont="1" applyAlignment="1">
      <alignment horizontal="center" vertical="top"/>
    </xf>
    <xf numFmtId="0" fontId="54" fillId="0" borderId="0" xfId="55" applyFont="1" applyAlignment="1">
      <alignment horizontal="center" vertical="top"/>
    </xf>
    <xf numFmtId="0" fontId="0" fillId="2" borderId="38" xfId="0" applyFill="1" applyBorder="1">
      <alignment vertical="center"/>
    </xf>
    <xf numFmtId="0" fontId="0" fillId="2" borderId="39" xfId="0" applyFill="1" applyBorder="1">
      <alignment vertical="center"/>
    </xf>
    <xf numFmtId="0" fontId="0" fillId="3" borderId="38" xfId="0" applyFill="1" applyBorder="1">
      <alignment vertical="center"/>
    </xf>
    <xf numFmtId="0" fontId="0" fillId="3" borderId="39" xfId="0" applyFill="1" applyBorder="1">
      <alignment vertical="center"/>
    </xf>
    <xf numFmtId="0" fontId="60" fillId="0" borderId="0" xfId="55" applyFont="1" applyAlignment="1">
      <alignment horizontal="center" vertical="top"/>
    </xf>
    <xf numFmtId="0" fontId="0" fillId="38" borderId="38" xfId="0" applyFill="1" applyBorder="1">
      <alignment vertical="center"/>
    </xf>
    <xf numFmtId="0" fontId="0" fillId="38" borderId="39" xfId="0" applyFill="1" applyBorder="1">
      <alignment vertical="center"/>
    </xf>
    <xf numFmtId="0" fontId="45" fillId="0" borderId="0" xfId="76" applyAlignment="1">
      <alignment horizontal="center" vertical="top"/>
    </xf>
    <xf numFmtId="0" fontId="5" fillId="0" borderId="0" xfId="77" applyAlignment="1">
      <alignment horizontal="center" vertical="top"/>
    </xf>
    <xf numFmtId="172" fontId="43" fillId="2" borderId="0" xfId="68" applyNumberFormat="1" applyFont="1" applyFill="1" applyAlignment="1">
      <alignment horizontal="center" vertical="center"/>
    </xf>
    <xf numFmtId="178" fontId="43" fillId="2" borderId="0" xfId="67" applyFont="1" applyFill="1" applyAlignment="1">
      <alignment horizontal="center" vertical="center"/>
    </xf>
    <xf numFmtId="172" fontId="65" fillId="2" borderId="0" xfId="68" applyNumberFormat="1" applyFont="1" applyFill="1" applyAlignment="1">
      <alignment horizontal="center" vertical="center"/>
    </xf>
    <xf numFmtId="0" fontId="42" fillId="2" borderId="0" xfId="56" applyFont="1" applyFill="1" applyAlignment="1">
      <alignment horizontal="center" vertical="center"/>
    </xf>
    <xf numFmtId="0" fontId="63" fillId="2" borderId="0" xfId="65" applyFont="1" applyFill="1" applyAlignment="1">
      <alignment horizontal="center" vertical="center"/>
      <protection locked="0"/>
    </xf>
    <xf numFmtId="0" fontId="61" fillId="2" borderId="0" xfId="65" applyFont="1" applyFill="1" applyAlignment="1">
      <alignment horizontal="center" vertical="center"/>
      <protection locked="0"/>
    </xf>
    <xf numFmtId="172" fontId="61" fillId="0" borderId="18" xfId="61" applyNumberFormat="1" applyFont="1" applyBorder="1" applyAlignment="1">
      <alignment horizontal="center" vertical="center"/>
      <protection locked="0"/>
    </xf>
    <xf numFmtId="172" fontId="61" fillId="0" borderId="19" xfId="61" applyNumberFormat="1" applyFont="1" applyBorder="1" applyAlignment="1">
      <alignment horizontal="center" vertical="center"/>
      <protection locked="0"/>
    </xf>
    <xf numFmtId="0" fontId="61" fillId="0" borderId="18" xfId="58" applyFont="1" applyBorder="1" applyAlignment="1">
      <alignment horizontal="center" vertical="center"/>
      <protection locked="0"/>
    </xf>
    <xf numFmtId="0" fontId="61" fillId="0" borderId="19" xfId="58" applyFont="1" applyBorder="1" applyAlignment="1">
      <alignment horizontal="center" vertical="center"/>
      <protection locked="0"/>
    </xf>
    <xf numFmtId="178" fontId="61" fillId="0" borderId="18" xfId="60" applyFont="1" applyBorder="1" applyAlignment="1">
      <alignment horizontal="center" vertical="center"/>
      <protection locked="0"/>
    </xf>
    <xf numFmtId="178" fontId="61" fillId="0" borderId="19" xfId="60" applyFont="1" applyBorder="1" applyAlignment="1">
      <alignment horizontal="center" vertical="center"/>
      <protection locked="0"/>
    </xf>
    <xf numFmtId="0" fontId="45" fillId="2" borderId="0" xfId="76" applyFill="1">
      <alignment vertical="center"/>
    </xf>
    <xf numFmtId="0" fontId="55" fillId="2" borderId="0" xfId="56" applyFont="1" applyFill="1" applyAlignment="1">
      <alignment horizontal="center" vertical="center"/>
    </xf>
    <xf numFmtId="172" fontId="61" fillId="2" borderId="20" xfId="68" applyNumberFormat="1" applyFont="1" applyFill="1" applyBorder="1" applyAlignment="1">
      <alignment horizontal="center" vertical="center"/>
    </xf>
    <xf numFmtId="0" fontId="64" fillId="2" borderId="0" xfId="56" applyFont="1" applyFill="1" applyAlignment="1">
      <alignment horizontal="center" vertical="center"/>
    </xf>
    <xf numFmtId="0" fontId="76" fillId="0" borderId="0" xfId="87" applyFont="1" applyFill="1" applyBorder="1" applyAlignment="1">
      <alignment horizontal="center" vertical="center"/>
    </xf>
    <xf numFmtId="0" fontId="76" fillId="35" borderId="21" xfId="87" applyFont="1" applyFill="1" applyBorder="1" applyAlignment="1">
      <alignment horizontal="center" vertical="center"/>
    </xf>
    <xf numFmtId="0" fontId="76" fillId="35" borderId="22" xfId="87" applyFont="1" applyFill="1" applyBorder="1" applyAlignment="1">
      <alignment horizontal="center" vertical="center"/>
    </xf>
    <xf numFmtId="0" fontId="76" fillId="35" borderId="23" xfId="87" applyFont="1" applyFill="1" applyBorder="1" applyAlignment="1">
      <alignment horizontal="center" vertical="center"/>
    </xf>
    <xf numFmtId="0" fontId="13" fillId="0" borderId="0" xfId="98">
      <alignment vertical="center"/>
    </xf>
    <xf numFmtId="0" fontId="54" fillId="0" borderId="0" xfId="55" applyFont="1" applyBorder="1" applyAlignment="1">
      <alignment horizontal="center" vertical="center" wrapText="1"/>
    </xf>
    <xf numFmtId="0" fontId="54" fillId="0" borderId="2" xfId="55" applyFont="1" applyBorder="1" applyAlignment="1">
      <alignment horizontal="center" vertical="center" wrapText="1"/>
    </xf>
    <xf numFmtId="0" fontId="76" fillId="37" borderId="27" xfId="87" applyFont="1" applyFill="1" applyBorder="1" applyAlignment="1">
      <alignment horizontal="center" vertical="center"/>
    </xf>
    <xf numFmtId="0" fontId="76" fillId="37" borderId="28" xfId="87" applyFont="1" applyFill="1" applyBorder="1" applyAlignment="1">
      <alignment horizontal="center" vertical="center"/>
    </xf>
    <xf numFmtId="0" fontId="76" fillId="37" borderId="29" xfId="87" applyFont="1" applyFill="1" applyBorder="1" applyAlignment="1">
      <alignment horizontal="center" vertical="center"/>
    </xf>
    <xf numFmtId="0" fontId="5" fillId="0" borderId="0" xfId="99" applyAlignment="1">
      <alignment horizontal="right" vertical="center"/>
    </xf>
    <xf numFmtId="0" fontId="5" fillId="0" borderId="0" xfId="99" applyAlignment="1">
      <alignment horizontal="left" vertical="center"/>
    </xf>
    <xf numFmtId="0" fontId="5" fillId="0" borderId="0" xfId="78" applyAlignment="1">
      <alignment horizontal="center" vertical="center"/>
    </xf>
    <xf numFmtId="0" fontId="76" fillId="36" borderId="24" xfId="87" applyFont="1" applyFill="1" applyBorder="1" applyAlignment="1">
      <alignment horizontal="center" vertical="center"/>
    </xf>
    <xf numFmtId="0" fontId="76" fillId="36" borderId="25" xfId="87" applyFont="1" applyFill="1" applyBorder="1" applyAlignment="1">
      <alignment horizontal="center" vertical="center"/>
    </xf>
    <xf numFmtId="0" fontId="76" fillId="36" borderId="26" xfId="87" applyFont="1" applyFill="1" applyBorder="1" applyAlignment="1">
      <alignment horizontal="center" vertical="center"/>
    </xf>
  </cellXfs>
  <cellStyles count="106">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Assumption Currency." xfId="64"/>
    <cellStyle name="Assumption Date." xfId="60"/>
    <cellStyle name="Assumption Heading." xfId="58"/>
    <cellStyle name="Assumption Multiple." xfId="63"/>
    <cellStyle name="Assumption Number." xfId="61"/>
    <cellStyle name="Assumption Percentage." xfId="62"/>
    <cellStyle name="Assumption Year." xfId="59"/>
    <cellStyle name="Bad" xfId="15" builtinId="27" hidden="1"/>
    <cellStyle name="Calculation" xfId="19" builtinId="22" hidden="1"/>
    <cellStyle name="Cell Link." xfId="65"/>
    <cellStyle name="Check Cell" xfId="21" builtinId="23" hidden="1"/>
    <cellStyle name="Comma" xfId="2" builtinId="3" hidden="1"/>
    <cellStyle name="Comma [0]" xfId="3" builtinId="6" hidden="1"/>
    <cellStyle name="Currency" xfId="4" builtinId="4" hidden="1"/>
    <cellStyle name="Currency [0]" xfId="5" builtinId="7" hidden="1"/>
    <cellStyle name="Currency." xfId="71"/>
    <cellStyle name="Date." xfId="67"/>
    <cellStyle name="Explanatory Text" xfId="24" builtinId="53" hidden="1"/>
    <cellStyle name="Followed Hyperlink" xfId="6" builtinId="9" hidden="1"/>
    <cellStyle name="Good" xfId="14" builtinId="26" hidden="1"/>
    <cellStyle name="Heading 1" xfId="7" builtinId="16" hidden="1" customBuiltin="1"/>
    <cellStyle name="Heading 1." xfId="53"/>
    <cellStyle name="Heading 2" xfId="8" builtinId="17" hidden="1" customBuiltin="1"/>
    <cellStyle name="Heading 2." xfId="54"/>
    <cellStyle name="Heading 3" xfId="9" builtinId="18" hidden="1" customBuiltin="1"/>
    <cellStyle name="Heading 3." xfId="55"/>
    <cellStyle name="Heading 4" xfId="10" builtinId="19" hidden="1" customBuiltin="1"/>
    <cellStyle name="Heading 4." xfId="56"/>
    <cellStyle name="Hyperlink" xfId="11" builtinId="8" hidden="1"/>
    <cellStyle name="Hyperlink" xfId="1" builtinId="8"/>
    <cellStyle name="Hyperlink Arrow." xfId="77"/>
    <cellStyle name="Hyperlink Check." xfId="78"/>
    <cellStyle name="Hyperlink Text." xfId="76"/>
    <cellStyle name="Hyperlink TOC 1." xfId="79"/>
    <cellStyle name="Hyperlink TOC 2." xfId="80"/>
    <cellStyle name="Hyperlink TOC 3." xfId="81"/>
    <cellStyle name="Hyperlink TOC 4." xfId="82"/>
    <cellStyle name="Input" xfId="17" builtinId="20" hidden="1"/>
    <cellStyle name="Linked Cell" xfId="20" builtinId="24" hidden="1"/>
    <cellStyle name="Lookup Table Heading." xfId="73"/>
    <cellStyle name="Lookup Table Label." xfId="75"/>
    <cellStyle name="Lookup Table Number." xfId="74"/>
    <cellStyle name="Model Name." xfId="52"/>
    <cellStyle name="Multiple." xfId="70"/>
    <cellStyle name="Neutral" xfId="16" builtinId="28" hidden="1"/>
    <cellStyle name="Normal" xfId="0" builtinId="0" customBuiltin="1"/>
    <cellStyle name="Note" xfId="23" builtinId="10" hidden="1"/>
    <cellStyle name="Number." xfId="68"/>
    <cellStyle name="Output" xfId="18" builtinId="21" hidden="1"/>
    <cellStyle name="Percent" xfId="12" builtinId="5" hidden="1"/>
    <cellStyle name="Percentage." xfId="69"/>
    <cellStyle name="Period Title." xfId="72"/>
    <cellStyle name="Presentation Currency." xfId="94"/>
    <cellStyle name="Presentation Date." xfId="96"/>
    <cellStyle name="Presentation Heading 1." xfId="86"/>
    <cellStyle name="Presentation Heading 2." xfId="87"/>
    <cellStyle name="Presentation Heading 3." xfId="88"/>
    <cellStyle name="Presentation Heading 4." xfId="89"/>
    <cellStyle name="Presentation Hyperlink Arrow." xfId="99"/>
    <cellStyle name="Presentation Hyperlink Check." xfId="100"/>
    <cellStyle name="Presentation Hyperlink Text." xfId="98"/>
    <cellStyle name="Presentation Model Name." xfId="85"/>
    <cellStyle name="Presentation Multiple." xfId="93"/>
    <cellStyle name="Presentation Normal." xfId="105"/>
    <cellStyle name="Presentation Number." xfId="91"/>
    <cellStyle name="Presentation Percentage." xfId="92"/>
    <cellStyle name="Presentation Period Title." xfId="97"/>
    <cellStyle name="Presentation Section Number." xfId="84"/>
    <cellStyle name="Presentation Sheet Title." xfId="83"/>
    <cellStyle name="Presentation Sub Total." xfId="90"/>
    <cellStyle name="Presentation TOC 1." xfId="101"/>
    <cellStyle name="Presentation TOC 2." xfId="102"/>
    <cellStyle name="Presentation TOC 3." xfId="103"/>
    <cellStyle name="Presentation TOC 4." xfId="104"/>
    <cellStyle name="Presentation Year." xfId="95"/>
    <cellStyle name="Section Number." xfId="51"/>
    <cellStyle name="Sheet Title." xfId="50"/>
    <cellStyle name="Sub Total." xfId="57"/>
    <cellStyle name="Title" xfId="13" builtinId="15" hidden="1"/>
    <cellStyle name="Total" xfId="25" builtinId="25" hidden="1"/>
    <cellStyle name="Warning Text" xfId="22" builtinId="11" hidden="1"/>
    <cellStyle name="Year." xfId="66"/>
  </cellStyles>
  <dxfs count="94">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color indexed="58"/>
      </font>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dxf>
    <dxf>
      <font>
        <b/>
        <i val="0"/>
        <condense val="0"/>
        <extend val="0"/>
        <color indexed="58"/>
      </font>
    </dxf>
    <dxf>
      <font>
        <b val="0"/>
        <i val="0"/>
        <strike val="0"/>
        <u val="none"/>
        <color indexed="18"/>
      </font>
      <fill>
        <patternFill patternType="none"/>
      </fill>
    </dxf>
    <dxf>
      <font>
        <b val="0"/>
        <i val="0"/>
        <strike val="0"/>
        <u val="none"/>
        <color indexed="18"/>
      </font>
      <fill>
        <patternFill patternType="none"/>
      </fill>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lor indexed="58"/>
      </font>
    </dxf>
    <dxf>
      <font>
        <b/>
        <i val="0"/>
        <color indexed="58"/>
      </font>
    </dxf>
    <dxf>
      <font>
        <b/>
        <i val="0"/>
        <color indexed="58"/>
      </font>
    </dxf>
    <dxf>
      <font>
        <b/>
        <i val="0"/>
        <color indexed="58"/>
      </font>
    </dxf>
    <dxf>
      <font>
        <b/>
        <i val="0"/>
        <condense val="0"/>
        <extend val="0"/>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i val="0"/>
        <condense val="0"/>
        <extend val="0"/>
        <color indexed="58"/>
      </font>
    </dxf>
    <dxf>
      <font>
        <b val="0"/>
        <i val="0"/>
        <strike val="0"/>
        <u val="none"/>
        <color indexed="18"/>
      </font>
      <border>
        <left/>
        <right/>
        <top/>
        <bottom/>
      </border>
    </dxf>
    <dxf>
      <font>
        <b val="0"/>
        <i val="0"/>
        <strike val="0"/>
        <u val="none"/>
        <color indexed="18"/>
      </font>
      <border>
        <left/>
        <right/>
        <top/>
        <bottom/>
      </border>
    </dxf>
    <dxf>
      <font>
        <b/>
        <i val="0"/>
        <color indexed="58"/>
      </font>
    </dxf>
    <dxf>
      <font>
        <b/>
        <i val="0"/>
        <color indexed="58"/>
      </font>
    </dxf>
    <dxf>
      <font>
        <b/>
        <i val="0"/>
        <condense val="0"/>
        <extend val="0"/>
        <color indexed="58"/>
      </font>
    </dxf>
    <dxf>
      <font>
        <b/>
        <i val="0"/>
        <condense val="0"/>
        <extend val="0"/>
        <color indexed="58"/>
      </font>
    </dxf>
    <dxf>
      <font>
        <b val="0"/>
        <i val="0"/>
        <strike val="0"/>
        <u val="none"/>
        <color indexed="18"/>
      </font>
      <fill>
        <patternFill patternType="none"/>
      </fill>
      <border>
        <left/>
        <right/>
        <top/>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condense val="0"/>
        <extend val="0"/>
        <color indexed="63"/>
      </font>
      <fill>
        <patternFill patternType="solid">
          <bgColor indexed="18"/>
        </patternFill>
      </fill>
    </dxf>
    <dxf>
      <font>
        <b val="0"/>
        <i val="0"/>
        <strike val="0"/>
        <condense val="0"/>
        <extend val="0"/>
        <color indexed="63"/>
      </font>
      <fill>
        <patternFill patternType="solid">
          <bgColor indexed="18"/>
        </patternFill>
      </fill>
    </dxf>
    <dxf>
      <font>
        <b/>
        <i val="0"/>
        <condense val="0"/>
        <extend val="0"/>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i val="0"/>
        <condense val="0"/>
        <extend val="0"/>
        <color indexed="58"/>
      </font>
    </dxf>
    <dxf>
      <font>
        <b/>
        <i val="0"/>
        <condense val="0"/>
        <extend val="0"/>
        <color indexed="58"/>
      </font>
    </dxf>
    <dxf>
      <font>
        <b val="0"/>
        <i val="0"/>
        <strike val="0"/>
        <u val="none"/>
        <color indexed="63"/>
      </font>
      <fill>
        <patternFill patternType="solid">
          <bgColor indexed="18"/>
        </patternFill>
      </fill>
      <border>
        <left style="thin">
          <color indexed="18"/>
        </left>
        <right style="thin">
          <color indexed="18"/>
        </right>
        <top style="thin">
          <color indexed="18"/>
        </top>
        <bottom style="thin">
          <color indexed="18"/>
        </bottom>
      </border>
    </dxf>
    <dxf>
      <font>
        <b/>
        <i val="0"/>
        <color indexed="58"/>
      </font>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
      <font>
        <b val="0"/>
        <i val="0"/>
        <strike val="0"/>
        <color indexed="63"/>
      </font>
      <fill>
        <patternFill patternType="solid">
          <bgColor indexed="1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C0C0C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993366"/>
      <rgbColor rgb="00339966"/>
      <rgbColor rgb="00CB2840"/>
      <rgbColor rgb="00007767"/>
      <rgbColor rgb="000069B3"/>
      <rgbColor rgb="00993366"/>
      <rgbColor rgb="00FFFF78"/>
      <rgbColor rgb="00FFFFFF"/>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BS_Sum_P_MS!$AU$11</c:f>
          <c:strCache>
            <c:ptCount val="1"/>
            <c:pt idx="0">
              <c:v>Revenue</c:v>
            </c:pt>
          </c:strCache>
        </c:strRef>
      </c:tx>
      <c:txPr>
        <a:bodyPr/>
        <a:lstStyle/>
        <a:p>
          <a:pPr>
            <a:defRPr lang="en-AU" sz="900"/>
          </a:pPr>
          <a:endParaRPr lang="en-US"/>
        </a:p>
      </c:txPr>
    </c:title>
    <c:plotArea>
      <c:layout>
        <c:manualLayout>
          <c:layoutTarget val="inner"/>
          <c:xMode val="edge"/>
          <c:yMode val="edge"/>
          <c:x val="0.12544252863340766"/>
          <c:y val="0.21723051962362808"/>
          <c:w val="0.81794968189792217"/>
          <c:h val="0.55381287289400161"/>
        </c:manualLayout>
      </c:layout>
      <c:barChart>
        <c:barDir val="col"/>
        <c:grouping val="stacked"/>
        <c:ser>
          <c:idx val="0"/>
          <c:order val="0"/>
          <c:tx>
            <c:strRef>
              <c:f>BS_Sum_P_MS!$AQ$13</c:f>
              <c:strCache>
                <c:ptCount val="1"/>
                <c:pt idx="0">
                  <c:v>Revenue (Historical)</c:v>
                </c:pt>
              </c:strCache>
            </c:strRef>
          </c:tx>
          <c:spPr>
            <a:solidFill>
              <a:srgbClr val="4F81BD"/>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BS_Sum_P_MS!$AX$13:$BE$13</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BS_Sum_P_MS!$AQ$14</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BS_Sum_P_MS!$AX$14:$BE$14</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overlap val="100"/>
        <c:axId val="299472384"/>
        <c:axId val="299474304"/>
      </c:barChart>
      <c:catAx>
        <c:axId val="299472384"/>
        <c:scaling>
          <c:orientation val="minMax"/>
        </c:scaling>
        <c:axPos val="b"/>
        <c:tickLblPos val="nextTo"/>
        <c:txPr>
          <a:bodyPr/>
          <a:lstStyle/>
          <a:p>
            <a:pPr>
              <a:defRPr lang="en-AU"/>
            </a:pPr>
            <a:endParaRPr lang="en-US"/>
          </a:p>
        </c:txPr>
        <c:crossAx val="299474304"/>
        <c:crosses val="autoZero"/>
        <c:auto val="1"/>
        <c:lblAlgn val="ctr"/>
        <c:lblOffset val="100"/>
      </c:catAx>
      <c:valAx>
        <c:axId val="299474304"/>
        <c:scaling>
          <c:orientation val="minMax"/>
        </c:scaling>
        <c:axPos val="l"/>
        <c:numFmt formatCode="_(#,##0_);\(#,##0\);_(&quot;-&quot;_)" sourceLinked="1"/>
        <c:tickLblPos val="nextTo"/>
        <c:txPr>
          <a:bodyPr/>
          <a:lstStyle/>
          <a:p>
            <a:pPr>
              <a:defRPr lang="en-AU"/>
            </a:pPr>
            <a:endParaRPr lang="en-US"/>
          </a:p>
        </c:txPr>
        <c:crossAx val="299472384"/>
        <c:crosses val="autoZero"/>
        <c:crossBetween val="between"/>
      </c:valAx>
    </c:plotArea>
    <c:legend>
      <c:legendPos val="t"/>
      <c:layout>
        <c:manualLayout>
          <c:xMode val="edge"/>
          <c:yMode val="edge"/>
          <c:x val="0.26768147404731435"/>
          <c:y val="0.12310185185185252"/>
          <c:w val="0.44516292801634721"/>
          <c:h val="0.14817551542141263"/>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BS_Sum_P_MS!$AU$32</c:f>
          <c:strCache>
            <c:ptCount val="1"/>
            <c:pt idx="0">
              <c:v>Net Assets - 2010 (A) </c:v>
            </c:pt>
          </c:strCache>
        </c:strRef>
      </c:tx>
      <c:txPr>
        <a:bodyPr/>
        <a:lstStyle/>
        <a:p>
          <a:pPr>
            <a:defRPr lang="en-AU" sz="900"/>
          </a:pPr>
          <a:endParaRPr lang="en-US"/>
        </a:p>
      </c:txPr>
    </c:title>
    <c:plotArea>
      <c:layout/>
      <c:barChart>
        <c:barDir val="col"/>
        <c:grouping val="stacked"/>
        <c:ser>
          <c:idx val="0"/>
          <c:order val="0"/>
          <c:dPt>
            <c:idx val="1"/>
            <c:spPr>
              <a:noFill/>
            </c:spPr>
          </c:dPt>
          <c:cat>
            <c:strRef>
              <c:f>BS_Sum_P_MS!$AQ$37:$AQ$39</c:f>
              <c:strCache>
                <c:ptCount val="3"/>
                <c:pt idx="0">
                  <c:v>Assets</c:v>
                </c:pt>
                <c:pt idx="1">
                  <c:v>Liabilities</c:v>
                </c:pt>
                <c:pt idx="2">
                  <c:v>Net Assets</c:v>
                </c:pt>
              </c:strCache>
            </c:strRef>
          </c:cat>
          <c:val>
            <c:numRef>
              <c:f>BS_Sum_P_MS!$AZ$37:$AZ$39</c:f>
              <c:numCache>
                <c:formatCode>_(#,##0.0_);\(#,##0.0\);_("-"_)</c:formatCode>
                <c:ptCount val="3"/>
                <c:pt idx="0">
                  <c:v>0</c:v>
                </c:pt>
                <c:pt idx="1">
                  <c:v>102.84777397260274</c:v>
                </c:pt>
                <c:pt idx="2">
                  <c:v>0</c:v>
                </c:pt>
              </c:numCache>
            </c:numRef>
          </c:val>
        </c:ser>
        <c:ser>
          <c:idx val="1"/>
          <c:order val="1"/>
          <c:spPr>
            <a:effectLst>
              <a:outerShdw blurRad="50800" dist="38100" dir="2700000" algn="tl" rotWithShape="0">
                <a:prstClr val="black">
                  <a:alpha val="40000"/>
                </a:prstClr>
              </a:outerShdw>
            </a:effectLst>
          </c:spPr>
          <c:dPt>
            <c:idx val="0"/>
            <c:spPr>
              <a:solidFill>
                <a:schemeClr val="accent1"/>
              </a:solidFill>
              <a:effectLst>
                <a:outerShdw blurRad="50800" dist="38100" dir="2700000" algn="tl" rotWithShape="0">
                  <a:prstClr val="black">
                    <a:alpha val="40000"/>
                  </a:prstClr>
                </a:outerShdw>
              </a:effectLst>
            </c:spPr>
          </c:dPt>
          <c:dPt>
            <c:idx val="1"/>
            <c:spPr>
              <a:solidFill>
                <a:schemeClr val="accent2"/>
              </a:solidFill>
              <a:effectLst>
                <a:outerShdw blurRad="50800" dist="38100" dir="2700000" algn="tl" rotWithShape="0">
                  <a:prstClr val="black">
                    <a:alpha val="40000"/>
                  </a:prstClr>
                </a:outerShdw>
              </a:effectLst>
            </c:spPr>
          </c:dPt>
          <c:dPt>
            <c:idx val="2"/>
            <c:spPr>
              <a:solidFill>
                <a:schemeClr val="accent3"/>
              </a:solidFill>
              <a:effectLst>
                <a:outerShdw blurRad="50800" dist="38100" dir="2700000" algn="tl" rotWithShape="0">
                  <a:prstClr val="black">
                    <a:alpha val="40000"/>
                  </a:prstClr>
                </a:outerShdw>
              </a:effectLst>
            </c:spPr>
          </c:dPt>
          <c:dLbls>
            <c:txPr>
              <a:bodyPr/>
              <a:lstStyle/>
              <a:p>
                <a:pPr>
                  <a:defRPr lang="en-AU">
                    <a:solidFill>
                      <a:schemeClr val="bg1"/>
                    </a:solidFill>
                  </a:defRPr>
                </a:pPr>
                <a:endParaRPr lang="en-US"/>
              </a:p>
            </c:txPr>
            <c:showVal val="1"/>
          </c:dLbls>
          <c:cat>
            <c:strRef>
              <c:f>BS_Sum_P_MS!$AQ$37:$AQ$39</c:f>
              <c:strCache>
                <c:ptCount val="3"/>
                <c:pt idx="0">
                  <c:v>Assets</c:v>
                </c:pt>
                <c:pt idx="1">
                  <c:v>Liabilities</c:v>
                </c:pt>
                <c:pt idx="2">
                  <c:v>Net Assets</c:v>
                </c:pt>
              </c:strCache>
            </c:strRef>
          </c:cat>
          <c:val>
            <c:numRef>
              <c:f>BS_Sum_P_MS!$BA$37:$BA$39</c:f>
              <c:numCache>
                <c:formatCode>_(#,##0.0_);\(#,##0.0\);_("-"_)</c:formatCode>
                <c:ptCount val="3"/>
                <c:pt idx="0">
                  <c:v>184.64897260273972</c:v>
                </c:pt>
                <c:pt idx="1">
                  <c:v>81.80119863013698</c:v>
                </c:pt>
                <c:pt idx="2">
                  <c:v>102.84777397260274</c:v>
                </c:pt>
              </c:numCache>
            </c:numRef>
          </c:val>
        </c:ser>
        <c:gapWidth val="25"/>
        <c:overlap val="100"/>
        <c:axId val="276797312"/>
        <c:axId val="276798848"/>
      </c:barChart>
      <c:catAx>
        <c:axId val="276797312"/>
        <c:scaling>
          <c:orientation val="minMax"/>
        </c:scaling>
        <c:axPos val="b"/>
        <c:tickLblPos val="nextTo"/>
        <c:txPr>
          <a:bodyPr/>
          <a:lstStyle/>
          <a:p>
            <a:pPr>
              <a:defRPr lang="en-AU"/>
            </a:pPr>
            <a:endParaRPr lang="en-US"/>
          </a:p>
        </c:txPr>
        <c:crossAx val="276798848"/>
        <c:crosses val="autoZero"/>
        <c:auto val="1"/>
        <c:lblAlgn val="ctr"/>
        <c:lblOffset val="100"/>
      </c:catAx>
      <c:valAx>
        <c:axId val="276798848"/>
        <c:scaling>
          <c:orientation val="minMax"/>
        </c:scaling>
        <c:axPos val="l"/>
        <c:numFmt formatCode="_(#,##0.0_);\(#,##0.0\);_(&quot;-&quot;_)" sourceLinked="1"/>
        <c:tickLblPos val="nextTo"/>
        <c:txPr>
          <a:bodyPr/>
          <a:lstStyle/>
          <a:p>
            <a:pPr>
              <a:defRPr lang="en-AU"/>
            </a:pPr>
            <a:endParaRPr lang="en-US"/>
          </a:p>
        </c:txPr>
        <c:crossAx val="276797312"/>
        <c:crosses val="autoZero"/>
        <c:crossBetween val="between"/>
      </c:valAx>
    </c:plotArea>
    <c:plotVisOnly val="1"/>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 l="0.70000000000000062" r="0.70000000000000062" t="0.75000000000000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BS_Sum_P_MS!$AU$43</c:f>
          <c:strCache>
            <c:ptCount val="1"/>
            <c:pt idx="0">
              <c:v>EBITDA Breakdown</c:v>
            </c:pt>
          </c:strCache>
        </c:strRef>
      </c:tx>
      <c:txPr>
        <a:bodyPr/>
        <a:lstStyle/>
        <a:p>
          <a:pPr>
            <a:defRPr lang="en-AU" sz="900"/>
          </a:pPr>
          <a:endParaRPr lang="en-US"/>
        </a:p>
      </c:txPr>
    </c:title>
    <c:plotArea>
      <c:layout>
        <c:manualLayout>
          <c:layoutTarget val="inner"/>
          <c:xMode val="edge"/>
          <c:yMode val="edge"/>
          <c:x val="6.4797227644595126E-2"/>
          <c:y val="0.28469234232750196"/>
          <c:w val="0.921692511277316"/>
          <c:h val="0.56815208931381589"/>
        </c:manualLayout>
      </c:layout>
      <c:barChart>
        <c:barDir val="col"/>
        <c:grouping val="stacked"/>
        <c:ser>
          <c:idx val="0"/>
          <c:order val="0"/>
          <c:tx>
            <c:strRef>
              <c:f>BS_Sum_P_MS!$AQ$45</c:f>
              <c:strCache>
                <c:ptCount val="1"/>
                <c:pt idx="0">
                  <c:v>Revenue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BS_Sum_P_MS!$AX$45:$BE$45</c:f>
              <c:numCache>
                <c:formatCode>_(#,##0_);\(#,##0\);_("-"_)</c:formatCode>
                <c:ptCount val="8"/>
                <c:pt idx="0">
                  <c:v>125</c:v>
                </c:pt>
                <c:pt idx="1">
                  <c:v>128.125</c:v>
                </c:pt>
                <c:pt idx="2">
                  <c:v>131.328125</c:v>
                </c:pt>
                <c:pt idx="3">
                  <c:v>0</c:v>
                </c:pt>
                <c:pt idx="4">
                  <c:v>0</c:v>
                </c:pt>
                <c:pt idx="5">
                  <c:v>0</c:v>
                </c:pt>
                <c:pt idx="6">
                  <c:v>0</c:v>
                </c:pt>
                <c:pt idx="7">
                  <c:v>0</c:v>
                </c:pt>
              </c:numCache>
            </c:numRef>
          </c:val>
        </c:ser>
        <c:ser>
          <c:idx val="1"/>
          <c:order val="1"/>
          <c:tx>
            <c:strRef>
              <c:f>BS_Sum_P_MS!$AQ$46</c:f>
              <c:strCache>
                <c:ptCount val="1"/>
                <c:pt idx="0">
                  <c:v>Cost of Goods Sold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BS_Sum_P_MS!$AX$46:$BE$46</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2"/>
          <c:order val="2"/>
          <c:tx>
            <c:strRef>
              <c:f>BS_Sum_P_MS!$AQ$47</c:f>
              <c:strCache>
                <c:ptCount val="1"/>
                <c:pt idx="0">
                  <c:v>Operating Expenditure (Historical)</c:v>
                </c:pt>
              </c:strCache>
            </c:strRef>
          </c:tx>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BS_Sum_P_MS!$AX$47:$BE$47</c:f>
              <c:numCache>
                <c:formatCode>_(#,##0_);\(#,##0\);_("-"_)</c:formatCode>
                <c:ptCount val="8"/>
                <c:pt idx="0">
                  <c:v>-40</c:v>
                </c:pt>
                <c:pt idx="1">
                  <c:v>-41</c:v>
                </c:pt>
                <c:pt idx="2">
                  <c:v>-42.024999999999999</c:v>
                </c:pt>
                <c:pt idx="3">
                  <c:v>0</c:v>
                </c:pt>
                <c:pt idx="4">
                  <c:v>0</c:v>
                </c:pt>
                <c:pt idx="5">
                  <c:v>0</c:v>
                </c:pt>
                <c:pt idx="6">
                  <c:v>0</c:v>
                </c:pt>
                <c:pt idx="7">
                  <c:v>0</c:v>
                </c:pt>
              </c:numCache>
            </c:numRef>
          </c:val>
        </c:ser>
        <c:ser>
          <c:idx val="3"/>
          <c:order val="3"/>
          <c:tx>
            <c:strRef>
              <c:f>BS_Sum_P_MS!$AQ$48</c:f>
              <c:strCache>
                <c:ptCount val="1"/>
                <c:pt idx="0">
                  <c:v>Revenue (Forecast)</c:v>
                </c:pt>
              </c:strCache>
            </c:strRef>
          </c:tx>
          <c:spPr>
            <a:solidFill>
              <a:srgbClr val="4F81BD">
                <a:alpha val="50000"/>
              </a:srgbClr>
            </a:solidFill>
            <a:ln>
              <a:solidFill>
                <a:schemeClr val="accent1"/>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BS_Sum_P_MS!$AX$48:$BE$48</c:f>
              <c:numCache>
                <c:formatCode>_(#,##0_);\(#,##0\);_("-"_)</c:formatCode>
                <c:ptCount val="8"/>
                <c:pt idx="0">
                  <c:v>0</c:v>
                </c:pt>
                <c:pt idx="1">
                  <c:v>0</c:v>
                </c:pt>
                <c:pt idx="2">
                  <c:v>0</c:v>
                </c:pt>
                <c:pt idx="3">
                  <c:v>134.611328125</c:v>
                </c:pt>
                <c:pt idx="4">
                  <c:v>137.97661132812499</c:v>
                </c:pt>
                <c:pt idx="5">
                  <c:v>141.4260266113281</c:v>
                </c:pt>
                <c:pt idx="6">
                  <c:v>144.96167727661128</c:v>
                </c:pt>
                <c:pt idx="7">
                  <c:v>148.58571920852654</c:v>
                </c:pt>
              </c:numCache>
            </c:numRef>
          </c:val>
        </c:ser>
        <c:ser>
          <c:idx val="4"/>
          <c:order val="4"/>
          <c:tx>
            <c:strRef>
              <c:f>BS_Sum_P_MS!$AQ$49</c:f>
              <c:strCache>
                <c:ptCount val="1"/>
                <c:pt idx="0">
                  <c:v>Cost of Goods Sold (Forecast)</c:v>
                </c:pt>
              </c:strCache>
            </c:strRef>
          </c:tx>
          <c:spPr>
            <a:solidFill>
              <a:srgbClr val="C0504D">
                <a:alpha val="50000"/>
              </a:srgb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BS_Sum_P_MS!$AX$49:$BE$49</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ser>
          <c:idx val="5"/>
          <c:order val="5"/>
          <c:tx>
            <c:strRef>
              <c:f>BS_Sum_P_MS!$AQ$50</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BS_Sum_P_MS!$AX$50:$BE$50</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79088512"/>
        <c:axId val="279102976"/>
      </c:barChart>
      <c:lineChart>
        <c:grouping val="standard"/>
        <c:ser>
          <c:idx val="6"/>
          <c:order val="6"/>
          <c:tx>
            <c:strRef>
              <c:f>BS_Sum_P_MS!$AQ$51</c:f>
              <c:strCache>
                <c:ptCount val="1"/>
                <c:pt idx="0">
                  <c:v>EBITDA</c:v>
                </c:pt>
              </c:strCache>
            </c:strRef>
          </c:tx>
          <c:spPr>
            <a:ln w="19050">
              <a:solidFill>
                <a:schemeClr val="accent4"/>
              </a:solidFill>
            </a:ln>
          </c:spPr>
          <c:marker>
            <c:symbol val="diamond"/>
            <c:size val="5"/>
            <c:spPr>
              <a:solidFill>
                <a:schemeClr val="accent4"/>
              </a:solidFill>
            </c:spPr>
          </c:marke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BS_Sum_P_MS!$AX$51:$BE$51</c:f>
              <c:numCache>
                <c:formatCode>_(#,##0_);\(#,##0\);_("-"_)</c:formatCode>
                <c:ptCount val="8"/>
                <c:pt idx="0">
                  <c:v>60</c:v>
                </c:pt>
                <c:pt idx="1">
                  <c:v>61.5</c:v>
                </c:pt>
                <c:pt idx="2">
                  <c:v>63.037500000000001</c:v>
                </c:pt>
                <c:pt idx="3">
                  <c:v>64.613437500000003</c:v>
                </c:pt>
                <c:pt idx="4">
                  <c:v>66.22877343750001</c:v>
                </c:pt>
                <c:pt idx="5">
                  <c:v>67.884492773437501</c:v>
                </c:pt>
                <c:pt idx="6">
                  <c:v>69.58160509277343</c:v>
                </c:pt>
                <c:pt idx="7">
                  <c:v>71.321145220092745</c:v>
                </c:pt>
              </c:numCache>
            </c:numRef>
          </c:val>
        </c:ser>
        <c:marker val="1"/>
        <c:axId val="279088512"/>
        <c:axId val="279102976"/>
      </c:lineChart>
      <c:catAx>
        <c:axId val="279088512"/>
        <c:scaling>
          <c:orientation val="minMax"/>
        </c:scaling>
        <c:axPos val="b"/>
        <c:numFmt formatCode="General" sourceLinked="1"/>
        <c:tickLblPos val="low"/>
        <c:txPr>
          <a:bodyPr/>
          <a:lstStyle/>
          <a:p>
            <a:pPr>
              <a:defRPr lang="en-AU"/>
            </a:pPr>
            <a:endParaRPr lang="en-US"/>
          </a:p>
        </c:txPr>
        <c:crossAx val="279102976"/>
        <c:crosses val="autoZero"/>
        <c:auto val="1"/>
        <c:lblAlgn val="ctr"/>
        <c:lblOffset val="100"/>
      </c:catAx>
      <c:valAx>
        <c:axId val="279102976"/>
        <c:scaling>
          <c:orientation val="minMax"/>
        </c:scaling>
        <c:axPos val="l"/>
        <c:numFmt formatCode="_(#,##0_);\(#,##0\);_(&quot;-&quot;_)" sourceLinked="1"/>
        <c:tickLblPos val="nextTo"/>
        <c:txPr>
          <a:bodyPr/>
          <a:lstStyle/>
          <a:p>
            <a:pPr>
              <a:defRPr lang="en-AU"/>
            </a:pPr>
            <a:endParaRPr lang="en-US"/>
          </a:p>
        </c:txPr>
        <c:crossAx val="279088512"/>
        <c:crosses val="autoZero"/>
        <c:crossBetween val="between"/>
      </c:valAx>
    </c:plotArea>
    <c:legend>
      <c:legendPos val="t"/>
      <c:layout>
        <c:manualLayout>
          <c:xMode val="edge"/>
          <c:yMode val="edge"/>
          <c:x val="0.14018584724263231"/>
          <c:y val="0.10425608794268013"/>
          <c:w val="0.76600764737276961"/>
          <c:h val="0.208128584116036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55" l="0.70000000000000062" r="0.70000000000000062" t="0.750000000000004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BS_Sum_P_MS!$AU$18</c:f>
          <c:strCache>
            <c:ptCount val="1"/>
            <c:pt idx="0">
              <c:v>Cost of Goods Sold</c:v>
            </c:pt>
          </c:strCache>
        </c:strRef>
      </c:tx>
      <c:txPr>
        <a:bodyPr/>
        <a:lstStyle/>
        <a:p>
          <a:pPr>
            <a:defRPr lang="en-AU" sz="900"/>
          </a:pPr>
          <a:endParaRPr lang="en-US"/>
        </a:p>
      </c:txPr>
    </c:title>
    <c:plotArea>
      <c:layout>
        <c:manualLayout>
          <c:layoutTarget val="inner"/>
          <c:xMode val="edge"/>
          <c:yMode val="edge"/>
          <c:x val="0.11313297459735661"/>
          <c:y val="0.27588255418586011"/>
          <c:w val="0.84857961234447254"/>
          <c:h val="0.50774180385911993"/>
        </c:manualLayout>
      </c:layout>
      <c:barChart>
        <c:barDir val="col"/>
        <c:grouping val="stacked"/>
        <c:ser>
          <c:idx val="0"/>
          <c:order val="0"/>
          <c:tx>
            <c:strRef>
              <c:f>BS_Sum_P_MS!$AQ$20</c:f>
              <c:strCache>
                <c:ptCount val="1"/>
                <c:pt idx="0">
                  <c:v>Cost of Goods Sold (Historical)</c:v>
                </c:pt>
              </c:strCache>
            </c:strRef>
          </c:tx>
          <c:spPr>
            <a:solidFill>
              <a:srgbClr val="C0504D"/>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BS_Sum_P_MS!$AX$20:$BE$20</c:f>
              <c:numCache>
                <c:formatCode>_(#,##0_);\(#,##0\);_("-"_)</c:formatCode>
                <c:ptCount val="8"/>
                <c:pt idx="0">
                  <c:v>25</c:v>
                </c:pt>
                <c:pt idx="1">
                  <c:v>25.624999999999996</c:v>
                </c:pt>
                <c:pt idx="2">
                  <c:v>26.265624999999993</c:v>
                </c:pt>
                <c:pt idx="3">
                  <c:v>0</c:v>
                </c:pt>
                <c:pt idx="4">
                  <c:v>0</c:v>
                </c:pt>
                <c:pt idx="5">
                  <c:v>0</c:v>
                </c:pt>
                <c:pt idx="6">
                  <c:v>0</c:v>
                </c:pt>
                <c:pt idx="7">
                  <c:v>0</c:v>
                </c:pt>
              </c:numCache>
            </c:numRef>
          </c:val>
        </c:ser>
        <c:ser>
          <c:idx val="1"/>
          <c:order val="1"/>
          <c:tx>
            <c:strRef>
              <c:f>BS_Sum_P_MS!$AQ$21</c:f>
              <c:strCache>
                <c:ptCount val="1"/>
                <c:pt idx="0">
                  <c:v>Cost of Goods Sold (Forecast)</c:v>
                </c:pt>
              </c:strCache>
            </c:strRef>
          </c:tx>
          <c:spPr>
            <a:solidFill>
              <a:schemeClr val="accent2">
                <a:alpha val="50000"/>
              </a:schemeClr>
            </a:solidFill>
            <a:ln>
              <a:solidFill>
                <a:schemeClr val="accent2"/>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BS_Sum_P_MS!$AX$21:$BE$21</c:f>
              <c:numCache>
                <c:formatCode>_(#,##0_);\(#,##0\);_("-"_)</c:formatCode>
                <c:ptCount val="8"/>
                <c:pt idx="0">
                  <c:v>0</c:v>
                </c:pt>
                <c:pt idx="1">
                  <c:v>0</c:v>
                </c:pt>
                <c:pt idx="2">
                  <c:v>0</c:v>
                </c:pt>
                <c:pt idx="3">
                  <c:v>26.922265624999991</c:v>
                </c:pt>
                <c:pt idx="4">
                  <c:v>27.59532226562499</c:v>
                </c:pt>
                <c:pt idx="5">
                  <c:v>28.285205322265611</c:v>
                </c:pt>
                <c:pt idx="6">
                  <c:v>28.992335455322248</c:v>
                </c:pt>
                <c:pt idx="7">
                  <c:v>29.717143841705301</c:v>
                </c:pt>
              </c:numCache>
            </c:numRef>
          </c:val>
        </c:ser>
        <c:overlap val="100"/>
        <c:axId val="280184704"/>
        <c:axId val="280186240"/>
      </c:barChart>
      <c:catAx>
        <c:axId val="280184704"/>
        <c:scaling>
          <c:orientation val="minMax"/>
        </c:scaling>
        <c:axPos val="b"/>
        <c:tickLblPos val="nextTo"/>
        <c:txPr>
          <a:bodyPr/>
          <a:lstStyle/>
          <a:p>
            <a:pPr>
              <a:defRPr lang="en-AU"/>
            </a:pPr>
            <a:endParaRPr lang="en-US"/>
          </a:p>
        </c:txPr>
        <c:crossAx val="280186240"/>
        <c:crosses val="autoZero"/>
        <c:auto val="1"/>
        <c:lblAlgn val="ctr"/>
        <c:lblOffset val="100"/>
      </c:catAx>
      <c:valAx>
        <c:axId val="280186240"/>
        <c:scaling>
          <c:orientation val="minMax"/>
        </c:scaling>
        <c:axPos val="l"/>
        <c:numFmt formatCode="_(#,##0_);\(#,##0\);_(&quot;-&quot;_)" sourceLinked="1"/>
        <c:tickLblPos val="nextTo"/>
        <c:txPr>
          <a:bodyPr/>
          <a:lstStyle/>
          <a:p>
            <a:pPr>
              <a:defRPr lang="en-AU"/>
            </a:pPr>
            <a:endParaRPr lang="en-US"/>
          </a:p>
        </c:txPr>
        <c:crossAx val="280184704"/>
        <c:crosses val="autoZero"/>
        <c:crossBetween val="between"/>
      </c:valAx>
    </c:plotArea>
    <c:legend>
      <c:legendPos val="t"/>
      <c:layout>
        <c:manualLayout>
          <c:xMode val="edge"/>
          <c:yMode val="edge"/>
          <c:x val="0.16047671748441447"/>
          <c:y val="0.12310185185185255"/>
          <c:w val="0.73614726725850899"/>
          <c:h val="0.1670236988134252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77" l="0.70000000000000062" r="0.70000000000000062" t="0.750000000000004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roundedCorners val="1"/>
  <c:chart>
    <c:title>
      <c:tx>
        <c:strRef>
          <c:f>BS_Sum_P_MS!$AU$25</c:f>
          <c:strCache>
            <c:ptCount val="1"/>
            <c:pt idx="0">
              <c:v>Operating Expenditure</c:v>
            </c:pt>
          </c:strCache>
        </c:strRef>
      </c:tx>
      <c:txPr>
        <a:bodyPr/>
        <a:lstStyle/>
        <a:p>
          <a:pPr>
            <a:defRPr lang="en-AU" sz="900"/>
          </a:pPr>
          <a:endParaRPr lang="en-US"/>
        </a:p>
      </c:txPr>
    </c:title>
    <c:plotArea>
      <c:layout>
        <c:manualLayout>
          <c:layoutTarget val="inner"/>
          <c:xMode val="edge"/>
          <c:yMode val="edge"/>
          <c:x val="0.12844793982062952"/>
          <c:y val="0.25496860643532054"/>
          <c:w val="0.83326464712119364"/>
          <c:h val="0.54123361826528682"/>
        </c:manualLayout>
      </c:layout>
      <c:barChart>
        <c:barDir val="col"/>
        <c:grouping val="stacked"/>
        <c:ser>
          <c:idx val="0"/>
          <c:order val="0"/>
          <c:tx>
            <c:strRef>
              <c:f>BS_Sum_P_MS!$AQ$27</c:f>
              <c:strCache>
                <c:ptCount val="1"/>
                <c:pt idx="0">
                  <c:v>Operating Expenditure (Historical)</c:v>
                </c:pt>
              </c:strCache>
            </c:strRef>
          </c:tx>
          <c:spPr>
            <a:solidFill>
              <a:schemeClr val="accent3"/>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BS_Sum_P_MS!$AX$27:$BE$27</c:f>
              <c:numCache>
                <c:formatCode>_(#,##0_);\(#,##0\);_("-"_)</c:formatCode>
                <c:ptCount val="8"/>
                <c:pt idx="0">
                  <c:v>40</c:v>
                </c:pt>
                <c:pt idx="1">
                  <c:v>41</c:v>
                </c:pt>
                <c:pt idx="2">
                  <c:v>42.024999999999999</c:v>
                </c:pt>
                <c:pt idx="3">
                  <c:v>0</c:v>
                </c:pt>
                <c:pt idx="4">
                  <c:v>0</c:v>
                </c:pt>
                <c:pt idx="5">
                  <c:v>0</c:v>
                </c:pt>
                <c:pt idx="6">
                  <c:v>0</c:v>
                </c:pt>
                <c:pt idx="7">
                  <c:v>0</c:v>
                </c:pt>
              </c:numCache>
            </c:numRef>
          </c:val>
        </c:ser>
        <c:ser>
          <c:idx val="1"/>
          <c:order val="1"/>
          <c:tx>
            <c:strRef>
              <c:f>BS_Sum_P_MS!$AQ$28</c:f>
              <c:strCache>
                <c:ptCount val="1"/>
                <c:pt idx="0">
                  <c:v>Operating Expenditure (Forecast)</c:v>
                </c:pt>
              </c:strCache>
            </c:strRef>
          </c:tx>
          <c:spPr>
            <a:solidFill>
              <a:srgbClr val="9BBB59">
                <a:alpha val="50000"/>
              </a:srgbClr>
            </a:solidFill>
            <a:ln>
              <a:solidFill>
                <a:schemeClr val="accent3"/>
              </a:solidFill>
            </a:ln>
          </c:spPr>
          <c:cat>
            <c:strRef>
              <c:f>BS_Sum_P_MS!$AX$7:$BE$7</c:f>
              <c:strCache>
                <c:ptCount val="8"/>
                <c:pt idx="0">
                  <c:v>2010 (A) </c:v>
                </c:pt>
                <c:pt idx="1">
                  <c:v>2011 (A) </c:v>
                </c:pt>
                <c:pt idx="2">
                  <c:v>2012 (A) </c:v>
                </c:pt>
                <c:pt idx="3">
                  <c:v>2013 (F) </c:v>
                </c:pt>
                <c:pt idx="4">
                  <c:v>2014 (F) </c:v>
                </c:pt>
                <c:pt idx="5">
                  <c:v>2015 (F) </c:v>
                </c:pt>
                <c:pt idx="6">
                  <c:v>2016 (F) </c:v>
                </c:pt>
                <c:pt idx="7">
                  <c:v>2017 (F) </c:v>
                </c:pt>
              </c:strCache>
            </c:strRef>
          </c:cat>
          <c:val>
            <c:numRef>
              <c:f>BS_Sum_P_MS!$AX$28:$BE$28</c:f>
              <c:numCache>
                <c:formatCode>_(#,##0_);\(#,##0\);_("-"_)</c:formatCode>
                <c:ptCount val="8"/>
                <c:pt idx="0">
                  <c:v>0</c:v>
                </c:pt>
                <c:pt idx="1">
                  <c:v>0</c:v>
                </c:pt>
                <c:pt idx="2">
                  <c:v>0</c:v>
                </c:pt>
                <c:pt idx="3">
                  <c:v>43.075624999999995</c:v>
                </c:pt>
                <c:pt idx="4">
                  <c:v>44.152515624999992</c:v>
                </c:pt>
                <c:pt idx="5">
                  <c:v>45.256328515624986</c:v>
                </c:pt>
                <c:pt idx="6">
                  <c:v>46.387736728515605</c:v>
                </c:pt>
                <c:pt idx="7">
                  <c:v>47.547430146728495</c:v>
                </c:pt>
              </c:numCache>
            </c:numRef>
          </c:val>
        </c:ser>
        <c:overlap val="100"/>
        <c:axId val="280211456"/>
        <c:axId val="280212992"/>
      </c:barChart>
      <c:catAx>
        <c:axId val="280211456"/>
        <c:scaling>
          <c:orientation val="minMax"/>
        </c:scaling>
        <c:axPos val="b"/>
        <c:tickLblPos val="nextTo"/>
        <c:txPr>
          <a:bodyPr/>
          <a:lstStyle/>
          <a:p>
            <a:pPr>
              <a:defRPr lang="en-AU"/>
            </a:pPr>
            <a:endParaRPr lang="en-US"/>
          </a:p>
        </c:txPr>
        <c:crossAx val="280212992"/>
        <c:crosses val="autoZero"/>
        <c:auto val="1"/>
        <c:lblAlgn val="ctr"/>
        <c:lblOffset val="100"/>
      </c:catAx>
      <c:valAx>
        <c:axId val="280212992"/>
        <c:scaling>
          <c:orientation val="minMax"/>
        </c:scaling>
        <c:axPos val="l"/>
        <c:numFmt formatCode="_(#,##0_);\(#,##0\);_(&quot;-&quot;_)" sourceLinked="1"/>
        <c:tickLblPos val="nextTo"/>
        <c:txPr>
          <a:bodyPr/>
          <a:lstStyle/>
          <a:p>
            <a:pPr>
              <a:defRPr lang="en-AU"/>
            </a:pPr>
            <a:endParaRPr lang="en-US"/>
          </a:p>
        </c:txPr>
        <c:crossAx val="280211456"/>
        <c:crosses val="autoZero"/>
        <c:crossBetween val="between"/>
      </c:valAx>
    </c:plotArea>
    <c:legend>
      <c:legendPos val="t"/>
      <c:layout>
        <c:manualLayout>
          <c:xMode val="edge"/>
          <c:yMode val="edge"/>
          <c:x val="0.20259287184841079"/>
          <c:y val="0.12310185185185255"/>
          <c:w val="0.59289807679610962"/>
          <c:h val="0.13447171119172971"/>
        </c:manualLayout>
      </c:layout>
      <c:txPr>
        <a:bodyPr/>
        <a:lstStyle/>
        <a:p>
          <a:pPr>
            <a:defRPr lang="en-AU"/>
          </a:pPr>
          <a:endParaRPr lang="en-US"/>
        </a:p>
      </c:txPr>
    </c:legend>
    <c:plotVisOnly val="1"/>
    <c:dispBlanksAs val="gap"/>
  </c:chart>
  <c:spPr>
    <a:effectLst>
      <a:outerShdw blurRad="50800" dist="38100" dir="2700000" algn="tl" rotWithShape="0">
        <a:prstClr val="black">
          <a:alpha val="40000"/>
        </a:prstClr>
      </a:outerShdw>
    </a:effectLst>
  </c:spPr>
  <c:txPr>
    <a:bodyPr/>
    <a:lstStyle/>
    <a:p>
      <a:pPr>
        <a:defRPr sz="800"/>
      </a:pPr>
      <a:endParaRPr lang="en-US"/>
    </a:p>
  </c:txPr>
  <c:printSettings>
    <c:headerFooter/>
    <c:pageMargins b="0.75000000000000477" l="0.70000000000000062" r="0.70000000000000062" t="0.75000000000000477"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xdr:colOff>
      <xdr:row>12</xdr:row>
      <xdr:rowOff>0</xdr:rowOff>
    </xdr:from>
    <xdr:to>
      <xdr:col>7</xdr:col>
      <xdr:colOff>429155</xdr:colOff>
      <xdr:row>17</xdr:row>
      <xdr:rowOff>0</xdr:rowOff>
    </xdr:to>
    <xdr:pic>
      <xdr:nvPicPr>
        <xdr:cNvPr id="2" name="Picture 1" descr="WorkbookLogo1.png"/>
        <xdr:cNvPicPr>
          <a:picLocks noChangeAspect="1"/>
        </xdr:cNvPicPr>
      </xdr:nvPicPr>
      <xdr:blipFill>
        <a:blip xmlns:r="http://schemas.openxmlformats.org/officeDocument/2006/relationships" r:embed="rId1" cstate="print"/>
        <a:stretch>
          <a:fillRect/>
        </a:stretch>
      </xdr:blipFill>
      <xdr:spPr>
        <a:xfrm>
          <a:off x="1352551" y="1752600"/>
          <a:ext cx="1981729"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127</xdr:colOff>
      <xdr:row>6</xdr:row>
      <xdr:rowOff>127</xdr:rowOff>
    </xdr:from>
    <xdr:to>
      <xdr:col>33</xdr:col>
      <xdr:colOff>535844</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64358</xdr:colOff>
      <xdr:row>23</xdr:row>
      <xdr:rowOff>1</xdr:rowOff>
    </xdr:from>
    <xdr:to>
      <xdr:col>39</xdr:col>
      <xdr:colOff>0</xdr:colOff>
      <xdr:row>41</xdr:row>
      <xdr:rowOff>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43</xdr:row>
      <xdr:rowOff>1</xdr:rowOff>
    </xdr:from>
    <xdr:to>
      <xdr:col>39</xdr:col>
      <xdr:colOff>0</xdr:colOff>
      <xdr:row>63</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64358</xdr:colOff>
      <xdr:row>5</xdr:row>
      <xdr:rowOff>133225</xdr:rowOff>
    </xdr:from>
    <xdr:to>
      <xdr:col>39</xdr:col>
      <xdr:colOff>0</xdr:colOff>
      <xdr:row>21</xdr:row>
      <xdr:rowOff>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23</xdr:row>
      <xdr:rowOff>1</xdr:rowOff>
    </xdr:from>
    <xdr:to>
      <xdr:col>33</xdr:col>
      <xdr:colOff>535717</xdr:colOff>
      <xdr:row>41</xdr:row>
      <xdr:rowOff>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Tahoma"/>
        <a:ea typeface="Tahoma"/>
        <a:cs typeface="Tahoma"/>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Tahoma"/>
        <a:ea typeface="Tahoma"/>
        <a:cs typeface="Tahoma"/>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estpracticemodelling.com/training_models_disclaimer" TargetMode="External"/><Relationship Id="rId1" Type="http://schemas.openxmlformats.org/officeDocument/2006/relationships/hyperlink" Target="http://www.bestpracticemodelling.com/network/subscrib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3.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4.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vmlDrawing" Target="../drawings/vmlDrawing15.vml"/><Relationship Id="rId1" Type="http://schemas.openxmlformats.org/officeDocument/2006/relationships/printerSettings" Target="../printerSettings/printerSettings24.bin"/><Relationship Id="rId4"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vmlDrawing" Target="../drawings/vmlDrawing17.vml"/><Relationship Id="rId1" Type="http://schemas.openxmlformats.org/officeDocument/2006/relationships/printerSettings" Target="../printerSettings/printerSettings25.bin"/><Relationship Id="rId4" Type="http://schemas.openxmlformats.org/officeDocument/2006/relationships/comments" Target="../comments8.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vmlDrawing" Target="../drawings/vmlDrawing19.vml"/><Relationship Id="rId1" Type="http://schemas.openxmlformats.org/officeDocument/2006/relationships/printerSettings" Target="../printerSettings/printerSettings26.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21.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xml"/><Relationship Id="rId1" Type="http://schemas.openxmlformats.org/officeDocument/2006/relationships/printerSettings" Target="../printerSettings/printerSettings32.bin"/><Relationship Id="rId4" Type="http://schemas.openxmlformats.org/officeDocument/2006/relationships/vmlDrawing" Target="../drawings/vmlDrawing24.vml"/></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vmlDrawing" Target="../drawings/vmlDrawing27.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vmlDrawing" Target="../drawings/vmlDrawing30.vml"/><Relationship Id="rId1" Type="http://schemas.openxmlformats.org/officeDocument/2006/relationships/printerSettings" Target="../printerSettings/printerSettings37.bin"/><Relationship Id="rId4" Type="http://schemas.openxmlformats.org/officeDocument/2006/relationships/comments" Target="../comments12.xml"/></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bestpracticemodelling.com/" TargetMode="External"/><Relationship Id="rId2" Type="http://schemas.openxmlformats.org/officeDocument/2006/relationships/hyperlink" Target="http://www.bestpracticemodelling.com/downloads/example_models" TargetMode="External"/><Relationship Id="rId1" Type="http://schemas.openxmlformats.org/officeDocument/2006/relationships/hyperlink" Target="mailto:Info@bpmglobal.com?subject=Inquiry%20-%20Re%20Forecast%20Business%20Planning%20Model%206.0"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http://www.bestpracticemodelling.com/downloads/standards"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autoPageBreaks="0" fitToPage="1"/>
  </sheetPr>
  <dimension ref="C2:N34"/>
  <sheetViews>
    <sheetView showGridLines="0" tabSelected="1" zoomScaleNormal="100" workbookViewId="0"/>
  </sheetViews>
  <sheetFormatPr defaultColWidth="11.83203125" defaultRowHeight="10.5"/>
  <cols>
    <col min="3" max="6" width="3.83203125" customWidth="1"/>
  </cols>
  <sheetData>
    <row r="2" spans="3:7" s="15" customFormat="1"/>
    <row r="3" spans="3:7" s="15" customFormat="1"/>
    <row r="4" spans="3:7" s="15" customFormat="1"/>
    <row r="5" spans="3:7" s="15" customFormat="1"/>
    <row r="6" spans="3:7" s="15" customFormat="1"/>
    <row r="7" spans="3:7" s="15" customFormat="1"/>
    <row r="9" spans="3:7" ht="18">
      <c r="C9" s="1" t="s">
        <v>457</v>
      </c>
    </row>
    <row r="10" spans="3:7" ht="15">
      <c r="C10" s="3" t="str">
        <f ca="1">"SMA 5. Assumption Entry Interfaces - Best Practice Model Example"&amp;Err_Chks_Msg&amp;Sens_Chks_Msg&amp;Alt_Chks_Msg</f>
        <v>SMA 5. Assumption Entry Interfaces - Best Practice Model Example</v>
      </c>
    </row>
    <row r="11" spans="3:7">
      <c r="C11" s="272" t="s">
        <v>48</v>
      </c>
      <c r="D11" s="272"/>
      <c r="E11" s="272"/>
      <c r="F11" s="272"/>
      <c r="G11" s="272"/>
    </row>
    <row r="19" spans="3:14">
      <c r="C19" s="25" t="s">
        <v>288</v>
      </c>
    </row>
    <row r="21" spans="3:14">
      <c r="C21" s="25" t="s">
        <v>459</v>
      </c>
    </row>
    <row r="22" spans="3:14">
      <c r="C22" s="36" t="s">
        <v>202</v>
      </c>
      <c r="D22" s="170" t="s">
        <v>571</v>
      </c>
    </row>
    <row r="23" spans="3:14">
      <c r="C23" s="36" t="s">
        <v>202</v>
      </c>
      <c r="D23" s="273" t="s">
        <v>580</v>
      </c>
      <c r="E23" s="273"/>
      <c r="F23" s="273"/>
      <c r="G23" s="273"/>
      <c r="H23" s="273"/>
      <c r="I23" s="273"/>
      <c r="J23" s="273"/>
      <c r="K23" s="273"/>
      <c r="L23" s="273"/>
      <c r="M23" s="273"/>
      <c r="N23" s="273"/>
    </row>
    <row r="24" spans="3:14">
      <c r="C24" s="110"/>
      <c r="D24" s="273"/>
      <c r="E24" s="273"/>
      <c r="F24" s="273"/>
      <c r="G24" s="273"/>
      <c r="H24" s="273"/>
      <c r="I24" s="273"/>
      <c r="J24" s="273"/>
      <c r="K24" s="273"/>
      <c r="L24" s="273"/>
      <c r="M24" s="273"/>
      <c r="N24" s="273"/>
    </row>
    <row r="25" spans="3:14">
      <c r="C25" s="36" t="s">
        <v>202</v>
      </c>
      <c r="D25" s="170" t="s">
        <v>573</v>
      </c>
    </row>
    <row r="26" spans="3:14" s="15" customFormat="1">
      <c r="C26" s="261" t="s">
        <v>202</v>
      </c>
      <c r="D26" s="170" t="s">
        <v>570</v>
      </c>
      <c r="E26" s="5"/>
      <c r="F26" s="5"/>
      <c r="G26" s="5"/>
      <c r="H26" s="5"/>
      <c r="I26" s="5"/>
      <c r="J26" s="5"/>
      <c r="K26" s="5"/>
      <c r="L26" s="5"/>
      <c r="M26" s="5"/>
    </row>
    <row r="27" spans="3:14" s="15" customFormat="1">
      <c r="C27" s="261" t="s">
        <v>202</v>
      </c>
      <c r="D27" s="170" t="s">
        <v>575</v>
      </c>
      <c r="E27" s="5"/>
      <c r="F27" s="5"/>
      <c r="G27" s="5"/>
      <c r="H27" s="5"/>
      <c r="I27" s="5"/>
      <c r="J27" s="5"/>
      <c r="K27" s="5"/>
      <c r="L27" s="5"/>
      <c r="M27" s="5"/>
    </row>
    <row r="28" spans="3:14">
      <c r="C28" s="36" t="s">
        <v>202</v>
      </c>
      <c r="D28" s="147" t="s">
        <v>458</v>
      </c>
      <c r="H28" s="9" t="str">
        <f>Notes_BO!$B$1</f>
        <v>Model Notes</v>
      </c>
      <c r="I28" s="8"/>
    </row>
    <row r="33" spans="10:12">
      <c r="J33" s="15"/>
    </row>
    <row r="34" spans="10:12">
      <c r="L34" s="245"/>
    </row>
  </sheetData>
  <mergeCells count="2">
    <mergeCell ref="C11:G11"/>
    <mergeCell ref="D23:N24"/>
  </mergeCells>
  <hyperlinks>
    <hyperlink ref="H28:I28" location="HL_Sheet_Main" tooltip="Go to Notes" display="HL_Sheet_Main"/>
    <hyperlink ref="D26:M26" r:id="rId1" display="Subscribe to the Best Practice Modelling Network to be notified of new best practice example models."/>
    <hyperlink ref="D27:M27" r:id="rId2" tooltip="View the training model usage terms and conditions." display="Use of this model is subject to the training model terms and conditions on the Best Practice Modelling website."/>
    <hyperlink ref="C11" location="HL_Home" tooltip="Go to Table of Contents" display="HL_Home"/>
  </hyperlinks>
  <pageMargins left="0.39370078740157499" right="0.39370078740157499" top="0.59055118110236204" bottom="0.98425196850393704" header="0" footer="0.31496062992126"/>
  <pageSetup paperSize="9" orientation="landscape" horizontalDpi="300" verticalDpi="300" r:id="rId3"/>
  <drawing r:id="rId4"/>
</worksheet>
</file>

<file path=xl/worksheets/sheet10.xml><?xml version="1.0" encoding="utf-8"?>
<worksheet xmlns="http://schemas.openxmlformats.org/spreadsheetml/2006/main" xmlns:r="http://schemas.openxmlformats.org/officeDocument/2006/relationships">
  <sheetPr codeName="Sheet10">
    <pageSetUpPr autoPageBreaks="0"/>
  </sheetPr>
  <dimension ref="A1:K6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outlineLevelRow="2"/>
  <cols>
    <col min="1" max="5" width="3.83203125" style="20" customWidth="1"/>
    <col min="6" max="256" width="11.83203125" style="20" customWidth="1"/>
    <col min="257" max="16384" width="9.33203125" style="20"/>
  </cols>
  <sheetData>
    <row r="1" spans="1:11" ht="18">
      <c r="B1" s="42" t="s">
        <v>329</v>
      </c>
    </row>
    <row r="2" spans="1:11" ht="15">
      <c r="B2" s="41" t="str">
        <f ca="1">Model_Name</f>
        <v>SMA 5. Assumption Entry Interfaces - Best Practice Model Example</v>
      </c>
    </row>
    <row r="3" spans="1:11">
      <c r="B3" s="318" t="s">
        <v>48</v>
      </c>
      <c r="C3" s="318"/>
      <c r="D3" s="318"/>
      <c r="E3" s="318"/>
      <c r="F3" s="318"/>
    </row>
    <row r="4" spans="1:11" ht="12.75">
      <c r="A4" s="43" t="s">
        <v>51</v>
      </c>
      <c r="B4" s="44" t="s">
        <v>53</v>
      </c>
      <c r="C4" s="45" t="s">
        <v>102</v>
      </c>
      <c r="D4" s="79" t="s">
        <v>205</v>
      </c>
      <c r="E4" s="79" t="s">
        <v>206</v>
      </c>
      <c r="F4" s="46" t="s">
        <v>207</v>
      </c>
    </row>
    <row r="7" spans="1:11" ht="12.75">
      <c r="B7" s="47" t="s">
        <v>329</v>
      </c>
    </row>
    <row r="9" spans="1:11" ht="11.25">
      <c r="C9" s="48" t="s">
        <v>347</v>
      </c>
    </row>
    <row r="11" spans="1:11">
      <c r="D11" s="49" t="s">
        <v>348</v>
      </c>
      <c r="J11" s="319" t="s">
        <v>187</v>
      </c>
      <c r="K11" s="319"/>
    </row>
    <row r="12" spans="1:11">
      <c r="D12" s="49" t="s">
        <v>340</v>
      </c>
      <c r="J12" s="309" t="str">
        <f>Annual</f>
        <v>Annual</v>
      </c>
      <c r="K12" s="309"/>
    </row>
    <row r="13" spans="1:11" ht="15.75" customHeight="1">
      <c r="D13" s="49" t="s">
        <v>349</v>
      </c>
      <c r="J13" s="53">
        <v>31</v>
      </c>
      <c r="K13" s="53">
        <v>12</v>
      </c>
    </row>
    <row r="14" spans="1:11">
      <c r="D14" s="49" t="s">
        <v>350</v>
      </c>
      <c r="J14" s="316">
        <v>40179</v>
      </c>
      <c r="K14" s="317"/>
    </row>
    <row r="15" spans="1:11">
      <c r="D15" s="49" t="s">
        <v>351</v>
      </c>
      <c r="J15" s="320">
        <v>8</v>
      </c>
      <c r="K15" s="320"/>
    </row>
    <row r="16" spans="1:11" ht="10.5" hidden="1" customHeight="1" outlineLevel="2">
      <c r="D16" s="49" t="s">
        <v>352</v>
      </c>
      <c r="J16" s="309" t="str">
        <f>INDEX(LU_Period_Type_Names,MATCH(TS_Periodicity,LU_Periodicity,0))</f>
        <v>Year</v>
      </c>
      <c r="K16" s="309"/>
    </row>
    <row r="17" spans="3:11" ht="10.5" hidden="1" customHeight="1" outlineLevel="2">
      <c r="D17" s="49" t="s">
        <v>353</v>
      </c>
      <c r="J17" s="321" t="str">
        <f>CHOOSE(MATCH(TS_Periodicity,LU_Periodicity,0),Yr_Name,"H","Q","M")</f>
        <v>Year</v>
      </c>
      <c r="K17" s="321"/>
    </row>
    <row r="18" spans="3:11" ht="10.5" hidden="1" customHeight="1" outlineLevel="2">
      <c r="D18" s="49" t="s">
        <v>354</v>
      </c>
      <c r="J18" s="321" t="b">
        <f>OR(AND(DD_TS_Fin_YE_Day&gt;=28,DD_TS_Fin_YE_Mth=2),
DD_TS_Fin_YE_Day&gt;=DAY(EOMONTH(DATE(YEAR(TS_Start_Date),DD_TS_Fin_YE_Mth,1),0)))</f>
        <v>1</v>
      </c>
      <c r="K18" s="321"/>
    </row>
    <row r="19" spans="3:11" ht="10.5" hidden="1" customHeight="1" outlineLevel="2">
      <c r="D19" s="49" t="s">
        <v>355</v>
      </c>
      <c r="J19" s="307">
        <f>IF(TS_Mth_End,DATE(YEAR(TS_Per_1_FY_End_Date)-IF(TS_Per_1_FY_End_Date=EOMONTH(DATE(YEAR(TS_Per_1_FY_End_Date),Mths_In_Yr,1),0),0,1),MOD(MONTH(TS_Per_1_FY_End_Date),Mths_In_Yr)+1,1),
EDATE(TS_Per_1_FY_End_Date,-Mths_In_Yr)+1)</f>
        <v>40179</v>
      </c>
      <c r="K19" s="307"/>
    </row>
    <row r="20" spans="3:11" ht="10.5" hidden="1" customHeight="1" outlineLevel="2">
      <c r="D20" s="49" t="s">
        <v>356</v>
      </c>
      <c r="J20" s="307">
        <f>IF(TS_Mth_End,EOMONTH(DATE(YEAR(TS_Start_Date)+IF(MONTH(TS_Start_Date)&gt;DD_TS_Fin_YE_Mth,1,0),DD_TS_Fin_YE_Mth,1),0),
DATE(YEAR(TS_Start_Date)+IF(TS_Start_Date&gt;DATE(YEAR(TS_Start_Date),DD_TS_Fin_YE_Mth,DD_TS_Fin_YE_Day),1,0),DD_TS_Fin_YE_Mth,DD_TS_Fin_YE_Day))</f>
        <v>40543</v>
      </c>
      <c r="K20" s="307"/>
    </row>
    <row r="21" spans="3:11" ht="10.5" hidden="1" customHeight="1" outlineLevel="2">
      <c r="D21" s="49" t="s">
        <v>345</v>
      </c>
      <c r="J21" s="306">
        <f>INDEX(LU_Pers_In_Yr,MATCH(TS_Periodicity,LU_Periodicity,0))</f>
        <v>1</v>
      </c>
      <c r="K21" s="306"/>
    </row>
    <row r="22" spans="3:11" ht="10.5" hidden="1" customHeight="1" outlineLevel="2">
      <c r="D22" s="49" t="s">
        <v>357</v>
      </c>
      <c r="J22" s="306">
        <f>Mths_In_Yr/TS_Pers_In_Yr</f>
        <v>12</v>
      </c>
      <c r="K22" s="306"/>
    </row>
    <row r="23" spans="3:11" ht="10.5" hidden="1" customHeight="1" outlineLevel="2">
      <c r="D23" s="49" t="s">
        <v>358</v>
      </c>
      <c r="J23" s="306">
        <f>INT((((YEAR(TS_Start_Date)-YEAR(TS_Per_1_FY_Start_Date))*Mths_In_Yr+MONTH(TS_Start_Date)-MONTH(TS_Per_1_FY_Start_Date)+1
+IF(TS_Mth_End,0,
IF(TS_Start_Date&gt;(EDATE(TS_Per_1_FY_Start_Date,(YEAR(TS_Start_Date)-YEAR(TS_Per_1_FY_Start_Date))*Mths_In_Yr+MONTH(TS_Start_Date)-MONTH(TS_Per_1_FY_Start_Date)+1)-1),1,0)
-IF(TS_Start_Date&lt;EDATE(TS_Per_1_FY_Start_Date,(YEAR(TS_Start_Date)-YEAR(TS_Per_1_FY_Start_Date))*Mths_In_Yr+MONTH(TS_Start_Date)-MONTH(TS_Per_1_FY_Start_Date)),1,0)))-1)/TS_Mths_In_Per)+1</f>
        <v>1</v>
      </c>
      <c r="K23" s="306"/>
    </row>
    <row r="24" spans="3:11" ht="10.5" hidden="1" customHeight="1" outlineLevel="2">
      <c r="D24" s="49" t="s">
        <v>359</v>
      </c>
      <c r="J24" s="307">
        <f>IF(TS_Mth_End,EOMONTH(EDATE(TS_Per_1_FY_Start_Date,(TS_Per_1_Number-1)*TS_Mths_In_Per-1),0)+1,
EDATE(TS_Per_1_FY_Start_Date,(TS_Per_1_Number-1)*TS_Mths_In_Per))</f>
        <v>40179</v>
      </c>
      <c r="K24" s="307"/>
    </row>
    <row r="25" spans="3:11" ht="10.5" hidden="1" customHeight="1" outlineLevel="2">
      <c r="D25" s="49" t="s">
        <v>186</v>
      </c>
      <c r="J25" s="307">
        <f>IF(TS_Mth_End,EOMONTH(EDATE(TS_Per_1_FY_Start_Date,TS_Per_1_Number*TS_Mths_In_Per-1),0),
EDATE(TS_Per_1_FY_Start_Date,TS_Per_1_Number*TS_Mths_In_Per)-1)</f>
        <v>40543</v>
      </c>
      <c r="K25" s="307"/>
    </row>
    <row r="26" spans="3:11" ht="15.75" customHeight="1" collapsed="1">
      <c r="D26" s="49" t="s">
        <v>87</v>
      </c>
      <c r="J26" s="310">
        <v>2</v>
      </c>
      <c r="K26" s="311"/>
    </row>
    <row r="27" spans="3:11" ht="10.5" hidden="1" customHeight="1" outlineLevel="2">
      <c r="D27" s="49" t="s">
        <v>360</v>
      </c>
      <c r="J27" s="309" t="str">
        <f>INDEX(LU_Denom,DD_TS_Denom)</f>
        <v>$Millions</v>
      </c>
      <c r="K27" s="309"/>
    </row>
    <row r="28" spans="3:11" collapsed="1"/>
    <row r="29" spans="3:11" ht="11.25">
      <c r="C29" s="48" t="s">
        <v>361</v>
      </c>
    </row>
    <row r="31" spans="3:11" ht="17.25" customHeight="1">
      <c r="D31" s="49" t="s">
        <v>362</v>
      </c>
      <c r="J31" s="310" t="b">
        <v>1</v>
      </c>
      <c r="K31" s="311"/>
    </row>
    <row r="32" spans="3:11">
      <c r="D32" s="49" t="s">
        <v>363</v>
      </c>
      <c r="J32" s="312">
        <v>3</v>
      </c>
      <c r="K32" s="313"/>
    </row>
    <row r="33" spans="3:11">
      <c r="D33" s="49" t="s">
        <v>364</v>
      </c>
      <c r="J33" s="312">
        <v>0</v>
      </c>
      <c r="K33" s="313"/>
    </row>
    <row r="34" spans="3:11" ht="10.5" hidden="1" customHeight="1" outlineLevel="2">
      <c r="D34" s="49" t="s">
        <v>365</v>
      </c>
      <c r="J34" s="314" t="s">
        <v>383</v>
      </c>
      <c r="K34" s="315"/>
    </row>
    <row r="35" spans="3:11" ht="10.5" hidden="1" customHeight="1" outlineLevel="2">
      <c r="D35" s="49" t="s">
        <v>366</v>
      </c>
      <c r="J35" s="314" t="s">
        <v>384</v>
      </c>
      <c r="K35" s="315"/>
    </row>
    <row r="36" spans="3:11" ht="10.5" hidden="1" customHeight="1" outlineLevel="2">
      <c r="D36" s="49" t="s">
        <v>367</v>
      </c>
      <c r="J36" s="314" t="s">
        <v>385</v>
      </c>
      <c r="K36" s="315"/>
    </row>
    <row r="37" spans="3:11" collapsed="1"/>
    <row r="38" spans="3:11" ht="11.25">
      <c r="C38" s="48" t="s">
        <v>368</v>
      </c>
    </row>
    <row r="40" spans="3:11" ht="15.75" customHeight="1">
      <c r="D40" s="49" t="s">
        <v>336</v>
      </c>
      <c r="J40" s="310">
        <v>2</v>
      </c>
      <c r="K40" s="311"/>
    </row>
    <row r="41" spans="3:11">
      <c r="D41" s="49" t="s">
        <v>369</v>
      </c>
      <c r="J41" s="312">
        <v>3</v>
      </c>
      <c r="K41" s="313"/>
    </row>
    <row r="42" spans="3:11">
      <c r="D42" s="49" t="s">
        <v>370</v>
      </c>
      <c r="J42" s="316">
        <v>41275</v>
      </c>
      <c r="K42" s="317"/>
    </row>
    <row r="43" spans="3:11" hidden="1" outlineLevel="2"/>
    <row r="44" spans="3:11" hidden="1" outlineLevel="2">
      <c r="D44" s="50" t="s">
        <v>371</v>
      </c>
    </row>
    <row r="45" spans="3:11" hidden="1" outlineLevel="2"/>
    <row r="46" spans="3:11" ht="10.5" hidden="1" customHeight="1" outlineLevel="2">
      <c r="E46" s="49" t="s">
        <v>372</v>
      </c>
      <c r="J46" s="307">
        <f>TS_Proj_Start_Date-1</f>
        <v>41274</v>
      </c>
      <c r="K46" s="307"/>
    </row>
    <row r="47" spans="3:11" ht="10.5" hidden="1" customHeight="1" outlineLevel="2">
      <c r="E47" s="49" t="s">
        <v>373</v>
      </c>
      <c r="J47" s="308">
        <f>IF(TS_Data_End_Date&lt;TS_Start_Date,0,
MAX(0,INT((((YEAR(TS_Data_End_Date)-YEAR(TS_Per_1_FY_Start_Date))*Mths_In_Yr+MONTH(TS_Data_End_Date)-MONTH(TS_Per_1_FY_Start_Date)+1
+IF(TS_Mth_End,0,
IF(TS_Data_End_Date&gt;(EDATE(TS_Per_1_FY_Start_Date,(YEAR(TS_Data_End_Date)-YEAR(TS_Per_1_FY_Start_Date))*Mths_In_Yr+MONTH(TS_Data_End_Date)-MONTH(TS_Per_1_FY_Start_Date)+1)-1),1,0)
-IF(TS_Data_End_Date&lt;EDATE(TS_Per_1_FY_Start_Date,(YEAR(TS_Data_End_Date)-YEAR(TS_Per_1_FY_Start_Date))*Mths_In_Yr+MONTH(TS_Data_End_Date)-MONTH(TS_Per_1_FY_Start_Date)),1,0)))
-1)/TS_Mths_In_Per)-TS_Per_1_Number+2))</f>
        <v>3</v>
      </c>
      <c r="K47" s="308"/>
    </row>
    <row r="48" spans="3:11" ht="10.5" hidden="1" customHeight="1" outlineLevel="2">
      <c r="E48" s="49" t="s">
        <v>374</v>
      </c>
      <c r="J48" s="306">
        <f>IF(TS_Data_Total_Pers=0,0,
TS_Data_Total_Pers-IF(TS_Data_End_Date&lt;&gt;IF(TS_Data_Total_Pers=1,TS_Per_1_End_Date,
IF(TS_Mth_End,EOMONTH(EDATE(TS_Per_1_FY_Start_Date,(TS_Per_1_Number+TS_Data_Total_Pers-1)*TS_Mths_In_Per-1),0),
EDATE(TS_Per_1_FY_Start_Date,(TS_Per_1_Number+TS_Data_Total_Pers-1)*TS_Mths_In_Per)-1)),1,0))</f>
        <v>3</v>
      </c>
      <c r="K48" s="306"/>
    </row>
    <row r="49" spans="3:11" ht="10.5" hidden="1" customHeight="1" outlineLevel="2">
      <c r="E49" s="49" t="s">
        <v>375</v>
      </c>
      <c r="J49" s="309" t="b">
        <f>IF(TS_Data_End_Date&lt;TS_Start_Date,FALSE,
IF(TS_Data_End_Date=TS_Per_1_End_Date,IF(TS_Start_Date&lt;&gt;TS_Per_1_Start_Date,TRUE,FALSE),
IF(TS_Data_End_Date&lt;TS_Per_1_End_Date,TRUE,
IF(TS_Data_End_Date&lt;&gt;IF(TS_Data_Total_Pers=1,TS_Per_1_End_Date,
IF(TS_Mth_End,EOMONTH(EDATE(TS_Per_1_FY_Start_Date,(TS_Per_1_Number+TS_Data_Total_Pers-1)*TS_Mths_In_Per-1),0),EDATE(TS_Per_1_FY_Start_Date,(TS_Per_1_Number+TS_Data_Total_Pers-1)*TS_Mths_In_Per)-1)),TRUE,FALSE))))</f>
        <v>0</v>
      </c>
      <c r="K49" s="309"/>
    </row>
    <row r="50" spans="3:11" hidden="1" outlineLevel="2"/>
    <row r="51" spans="3:11" hidden="1" outlineLevel="2">
      <c r="D51" s="50" t="s">
        <v>376</v>
      </c>
    </row>
    <row r="52" spans="3:11" hidden="1" outlineLevel="2"/>
    <row r="53" spans="3:11" ht="10.5" hidden="1" customHeight="1" outlineLevel="2">
      <c r="E53" s="49" t="s">
        <v>377</v>
      </c>
      <c r="J53" s="307">
        <f>IF(DD_TS_Data_Term_Basis=1,IF(TS_Mth_End,EOMONTH(EDATE(TS_Per_1_FY_Start_Date,(TS_Per_1_Number+TS_Data_Pers_Ass-1)*TS_Mths_In_Per-1),0),
EDATE(TS_Per_1_FY_Start_Date,(TS_Per_1_Number+TS_Data_Pers_Ass-1)*TS_Mths_In_Per)-1)+1,TS_Proj_Start_Date_Ass)</f>
        <v>41275</v>
      </c>
      <c r="K53" s="307"/>
    </row>
    <row r="54" spans="3:11" ht="10.5" hidden="1" customHeight="1" outlineLevel="2">
      <c r="E54" s="49" t="s">
        <v>355</v>
      </c>
      <c r="J54" s="307">
        <f>IF(TS_Mth_End,DATE(YEAR(TS_Proj_Per_1_FY_End_Date)-IF(TS_Proj_Per_1_FY_End_Date=EOMONTH(DATE(YEAR(TS_Proj_Per_1_FY_End_Date),Mths_In_Yr,1),0),0,1),MOD(MONTH(TS_Proj_Per_1_FY_End_Date),Mths_In_Yr)+1,1),
EDATE(TS_Proj_Per_1_FY_End_Date,-Mths_In_Yr)+1)</f>
        <v>41275</v>
      </c>
      <c r="K54" s="307"/>
    </row>
    <row r="55" spans="3:11" ht="10.5" hidden="1" customHeight="1" outlineLevel="2">
      <c r="E55" s="49" t="s">
        <v>356</v>
      </c>
      <c r="J55" s="307">
        <f>IF(TS_Mth_End,EOMONTH(DATE(YEAR(TS_Proj_Start_Date)+IF(MONTH(TS_Proj_Start_Date)&gt;DD_TS_Fin_YE_Mth,1,0),DD_TS_Fin_YE_Mth,1),0),
DATE(YEAR(TS_Proj_Start_Date)+IF(TS_Proj_Start_Date&gt;DATE(YEAR(TS_Proj_Start_Date),DD_TS_Fin_YE_Mth,DD_TS_Fin_YE_Day),1,0),DD_TS_Fin_YE_Mth,DD_TS_Fin_YE_Day))</f>
        <v>41639</v>
      </c>
      <c r="K55" s="307"/>
    </row>
    <row r="56" spans="3:11" ht="10.5" hidden="1" customHeight="1" outlineLevel="2">
      <c r="E56" s="49" t="s">
        <v>358</v>
      </c>
      <c r="J56" s="306">
        <f>INT((((YEAR(TS_Proj_Start_Date)-YEAR(TS_Proj_Per_1_FY_Start_Date))*Mths_In_Yr+MONTH(TS_Proj_Start_Date)-MONTH(TS_Proj_Per_1_FY_Start_Date)+1
+IF(TS_Mth_End,0,
IF(TS_Proj_Start_Date&gt;(EDATE(TS_Proj_Per_1_FY_Start_Date,(YEAR(TS_Proj_Start_Date)-YEAR(TS_Proj_Per_1_FY_Start_Date))*Mths_In_Yr+MONTH(TS_Proj_Start_Date)-MONTH(TS_Proj_Per_1_FY_Start_Date)+1)-1),1,0)
-IF(TS_Proj_Start_Date&lt;EDATE(TS_Proj_Per_1_FY_Start_Date,(YEAR(TS_Proj_Start_Date)-YEAR(TS_Proj_Per_1_FY_Start_Date))*Mths_In_Yr+MONTH(TS_Proj_Start_Date)-MONTH(TS_Proj_Per_1_FY_Start_Date)),1,0)))
-1)/TS_Mths_In_Per)+1</f>
        <v>1</v>
      </c>
      <c r="K56" s="306"/>
    </row>
    <row r="57" spans="3:11" ht="10.5" hidden="1" customHeight="1" outlineLevel="2">
      <c r="E57" s="49" t="s">
        <v>359</v>
      </c>
      <c r="J57" s="307">
        <f>IF(TS_Mth_End,EOMONTH(EDATE(TS_Proj_Per_1_FY_Start_Date,(TS_Proj_Per_1_Number-1)*TS_Mths_In_Per-1),0)+
1,EDATE(TS_Proj_Per_1_FY_Start_Date,(TS_Proj_Per_1_Number-1)*TS_Mths_In_Per))</f>
        <v>41275</v>
      </c>
      <c r="K57" s="307"/>
    </row>
    <row r="58" spans="3:11" ht="10.5" hidden="1" customHeight="1" outlineLevel="2">
      <c r="E58" s="49" t="s">
        <v>186</v>
      </c>
      <c r="J58" s="307">
        <f>IF(TS_Mth_End,EOMONTH(EDATE(TS_Proj_Per_1_FY_Start_Date,TS_Proj_Per_1_Number*TS_Mths_In_Per-1),0),
EDATE(TS_Proj_Per_1_FY_Start_Date,TS_Proj_Per_1_Number*TS_Mths_In_Per)-1)</f>
        <v>41639</v>
      </c>
      <c r="K58" s="307"/>
    </row>
    <row r="59" spans="3:11" collapsed="1"/>
    <row r="60" spans="3:11">
      <c r="C60" s="50" t="s">
        <v>203</v>
      </c>
    </row>
    <row r="61" spans="3:11">
      <c r="C61" s="51" t="s">
        <v>202</v>
      </c>
      <c r="D61" s="49" t="s">
        <v>378</v>
      </c>
    </row>
    <row r="62" spans="3:11">
      <c r="C62" s="51" t="s">
        <v>202</v>
      </c>
      <c r="D62" s="49" t="s">
        <v>379</v>
      </c>
    </row>
    <row r="63" spans="3:11">
      <c r="C63" s="51" t="s">
        <v>202</v>
      </c>
      <c r="D63" s="49" t="s">
        <v>380</v>
      </c>
    </row>
    <row r="64" spans="3:11">
      <c r="C64" s="51" t="s">
        <v>202</v>
      </c>
      <c r="D64" s="52" t="s">
        <v>381</v>
      </c>
    </row>
    <row r="65" spans="3:4">
      <c r="C65" s="51" t="s">
        <v>202</v>
      </c>
      <c r="D65" s="52" t="s">
        <v>382</v>
      </c>
    </row>
  </sheetData>
  <mergeCells count="36">
    <mergeCell ref="B3:F3"/>
    <mergeCell ref="J11:K11"/>
    <mergeCell ref="J12:K12"/>
    <mergeCell ref="J25:K25"/>
    <mergeCell ref="J14:K14"/>
    <mergeCell ref="J15:K15"/>
    <mergeCell ref="J16:K16"/>
    <mergeCell ref="J17:K17"/>
    <mergeCell ref="J18:K18"/>
    <mergeCell ref="J19:K19"/>
    <mergeCell ref="J20:K20"/>
    <mergeCell ref="J21:K21"/>
    <mergeCell ref="J22:K22"/>
    <mergeCell ref="J23:K23"/>
    <mergeCell ref="J24:K24"/>
    <mergeCell ref="J46:K46"/>
    <mergeCell ref="J26:K26"/>
    <mergeCell ref="J27:K27"/>
    <mergeCell ref="J31:K31"/>
    <mergeCell ref="J32:K32"/>
    <mergeCell ref="J33:K33"/>
    <mergeCell ref="J34:K34"/>
    <mergeCell ref="J35:K35"/>
    <mergeCell ref="J36:K36"/>
    <mergeCell ref="J40:K40"/>
    <mergeCell ref="J41:K41"/>
    <mergeCell ref="J42:K42"/>
    <mergeCell ref="J56:K56"/>
    <mergeCell ref="J57:K57"/>
    <mergeCell ref="J58:K58"/>
    <mergeCell ref="J47:K47"/>
    <mergeCell ref="J48:K48"/>
    <mergeCell ref="J49:K49"/>
    <mergeCell ref="J53:K53"/>
    <mergeCell ref="J54:K54"/>
    <mergeCell ref="J55:K55"/>
  </mergeCells>
  <conditionalFormatting sqref="J32">
    <cfRule type="expression" dxfId="93" priority="1" stopIfTrue="1">
      <formula>NOT(J$31)</formula>
    </cfRule>
  </conditionalFormatting>
  <conditionalFormatting sqref="J33">
    <cfRule type="expression" dxfId="92" priority="2" stopIfTrue="1">
      <formula>NOT(J$31)</formula>
    </cfRule>
  </conditionalFormatting>
  <conditionalFormatting sqref="J34">
    <cfRule type="expression" dxfId="91" priority="3" stopIfTrue="1">
      <formula>NOT(J$31)</formula>
    </cfRule>
  </conditionalFormatting>
  <conditionalFormatting sqref="J35">
    <cfRule type="expression" dxfId="90" priority="4" stopIfTrue="1">
      <formula>NOT(J$31)</formula>
    </cfRule>
  </conditionalFormatting>
  <conditionalFormatting sqref="J36">
    <cfRule type="expression" dxfId="89" priority="5" stopIfTrue="1">
      <formula>NOT(J$31)</formula>
    </cfRule>
  </conditionalFormatting>
  <conditionalFormatting sqref="J41">
    <cfRule type="expression" dxfId="88" priority="6" stopIfTrue="1">
      <formula>DD_TS_Data_Term_Basis&lt;&gt;1</formula>
    </cfRule>
  </conditionalFormatting>
  <conditionalFormatting sqref="J42">
    <cfRule type="expression" dxfId="87" priority="7" stopIfTrue="1">
      <formula>DD_TS_Data_Term_Basis&lt;&gt;2</formula>
    </cfRule>
    <cfRule type="cellIs" dxfId="86" priority="8" stopIfTrue="1" operator="lessThan">
      <formula>TS_Start_Date</formula>
    </cfRule>
  </conditionalFormatting>
  <dataValidations count="11">
    <dataValidation type="whole" showDropDown="1" showErrorMessage="1" errorTitle="0 Cell Link" error="The value in a 0 cell link must be a whole number within the control's lookup range rows." sqref="J13">
      <formula1>1</formula1>
      <formula2>ROWS(LU_Mth_Days )</formula2>
    </dataValidation>
    <dataValidation type="whole" showDropDown="1" showErrorMessage="1" errorTitle="0 Cell Link" error="The value in a 0 cell link must be a whole number within the control's lookup range rows." sqref="K13">
      <formula1>1</formula1>
      <formula2>ROWS(LU_Mth_Names )</formula2>
    </dataValidation>
    <dataValidation type="date" showDropDown="1" showInputMessage="1" showErrorMessage="1" errorTitle="Start Date" error="The entered start date assumption must be a valid date. For assistance, search for &quot;Date&quot; in Excel Help." promptTitle="Start Date" prompt="Enter the start date assumption here." sqref="J14">
      <formula1>1</formula1>
      <formula2>2862773</formula2>
    </dataValidation>
    <dataValidation type="whole" showDropDown="1" showErrorMessage="1" errorTitle="Periods" error="The entered number of periods must be a whole number between 1 and 249." sqref="J15">
      <formula1>1</formula1>
      <formula2>249</formula2>
    </dataValidation>
    <dataValidation type="whole" showDropDown="1" showErrorMessage="1" errorTitle="0 Cell Link" error="The value in a 0 cell link must be a whole number within the control's lookup range rows." sqref="J26">
      <formula1>1</formula1>
      <formula2>ROWS(LU_Denom )</formula2>
    </dataValidation>
    <dataValidation type="custom" showDropDown="1" showErrorMessage="1" errorTitle="6 Cell Link" error="The value in an option button cell link must be either &quot;TRUE&quot; or &quot;FALSE&quot;" sqref="J31">
      <formula1>ISLOGICAL(J31)</formula1>
    </dataValidation>
    <dataValidation type="whole" operator="greaterThanOrEqual" showDropDown="1" showErrorMessage="1" errorTitle="Invalid Assumption" error="Assumption must be a whole number greater than or equal to zero." sqref="J32">
      <formula1>0</formula1>
    </dataValidation>
    <dataValidation type="whole" operator="greaterThanOrEqual" showDropDown="1" showErrorMessage="1" errorTitle="Invalid Assumption" error="Assumption must be a whole number greater than or equal to zero." sqref="J33">
      <formula1>0</formula1>
    </dataValidation>
    <dataValidation type="whole" showDropDown="1" showErrorMessage="1" errorTitle="0 Cell Link" error="The value in a 0 cell link must be a whole number within the control's lookup range rows." sqref="J40">
      <formula1>1</formula1>
      <formula2>ROWS(LU_Data_Term_Basis )</formula2>
    </dataValidation>
    <dataValidation type="whole" operator="greaterThanOrEqual" showDropDown="1" showErrorMessage="1" errorTitle="Invalid Assumption" error="Assumption must be a whole number greater than or equal to zero." sqref="J41">
      <formula1>0</formula1>
    </dataValidation>
    <dataValidation type="custom" showErrorMessage="1" errorTitle="Invalid Assumption" error="Assumption must be a number." sqref="J42">
      <formula1>NOT(ISERROR(J42/1))</formula1>
    </dataValidation>
  </dataValidations>
  <hyperlinks>
    <hyperlink ref="B3" location="HL_Home" tooltip="Go to Table of Contents" display="HL_Home"/>
    <hyperlink ref="A4" location="$B$5" tooltip="Go to Top of Sheet" display="$B$5"/>
    <hyperlink ref="B4" location="HL_Sheet_Main_4" tooltip="Go to Previous Sheet" display="HL_Sheet_Main_4"/>
    <hyperlink ref="C4" location="HL_Sheet_Main_8" tooltip="Go to Next Sheet" display="HL_Sheet_Main_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11.xml><?xml version="1.0" encoding="utf-8"?>
<worksheet xmlns="http://schemas.openxmlformats.org/spreadsheetml/2006/main" xmlns:r="http://schemas.openxmlformats.org/officeDocument/2006/relationships">
  <sheetPr codeName="Sheet11">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533</v>
      </c>
    </row>
    <row r="10" spans="3:7" ht="16.5">
      <c r="C10" s="27" t="s">
        <v>506</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182" t="s">
        <v>521</v>
      </c>
    </row>
    <row r="19" spans="3:3">
      <c r="C19" s="182"/>
    </row>
    <row r="20" spans="3:3">
      <c r="C20" s="182"/>
    </row>
  </sheetData>
  <mergeCells count="1">
    <mergeCell ref="C12:G12"/>
  </mergeCells>
  <hyperlinks>
    <hyperlink ref="C12" location="HL_Home" tooltip="Go to Table of Contents" display="HL_Home"/>
    <hyperlink ref="C13" location="HL_Sheet_Main_10" tooltip="Go to Previous Sheet" display="HL_Sheet_Main_10"/>
    <hyperlink ref="D13" location="HL_Sheet_Main_21" tooltip="Go to Next Sheet" display="HL_Sheet_Main_21"/>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2.xml><?xml version="1.0" encoding="utf-8"?>
<worksheet xmlns="http://schemas.openxmlformats.org/spreadsheetml/2006/main" xmlns:r="http://schemas.openxmlformats.org/officeDocument/2006/relationships">
  <sheetPr codeName="Sheet12">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524</v>
      </c>
    </row>
    <row r="2" spans="1:17" ht="15">
      <c r="B2" s="41" t="str">
        <f ca="1">Model_Name</f>
        <v>SMA 5. Assumption Entry Interfaces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47</v>
      </c>
    </row>
    <row r="18" spans="3:17">
      <c r="D18" s="65" t="s">
        <v>224</v>
      </c>
      <c r="J18" s="114">
        <v>125</v>
      </c>
      <c r="K18" s="114">
        <v>128.125</v>
      </c>
      <c r="L18" s="114">
        <v>131.328125</v>
      </c>
      <c r="M18" s="114">
        <v>134.611328125</v>
      </c>
      <c r="N18" s="114">
        <v>137.97661132812499</v>
      </c>
      <c r="O18" s="114">
        <v>141.4260266113281</v>
      </c>
      <c r="P18" s="114">
        <v>144.96167727661128</v>
      </c>
      <c r="Q18" s="114">
        <v>148.58571920852654</v>
      </c>
    </row>
    <row r="19" spans="3:17">
      <c r="D19" s="65" t="s">
        <v>462</v>
      </c>
      <c r="J19" s="114">
        <v>-25</v>
      </c>
      <c r="K19" s="114">
        <v>-25.624999999999996</v>
      </c>
      <c r="L19" s="114">
        <v>-26.265624999999993</v>
      </c>
      <c r="M19" s="114">
        <v>-26.922265624999991</v>
      </c>
      <c r="N19" s="114">
        <v>-27.59532226562499</v>
      </c>
      <c r="O19" s="114">
        <v>-28.285205322265611</v>
      </c>
      <c r="P19" s="114">
        <v>-28.992335455322248</v>
      </c>
      <c r="Q19" s="114">
        <v>-29.717143841705301</v>
      </c>
    </row>
    <row r="20" spans="3:17">
      <c r="J20" s="82"/>
      <c r="K20" s="82"/>
      <c r="L20" s="82"/>
      <c r="M20" s="82"/>
      <c r="N20" s="82"/>
      <c r="O20" s="82"/>
      <c r="P20" s="82"/>
      <c r="Q20" s="82"/>
    </row>
    <row r="21" spans="3:17" ht="11.25">
      <c r="C21" s="61" t="s">
        <v>471</v>
      </c>
      <c r="J21" s="192">
        <f t="shared" ref="J21:Q21" si="8">J18+J19</f>
        <v>100</v>
      </c>
      <c r="K21" s="192">
        <f t="shared" si="8"/>
        <v>102.5</v>
      </c>
      <c r="L21" s="192">
        <f t="shared" si="8"/>
        <v>105.0625</v>
      </c>
      <c r="M21" s="192">
        <f t="shared" si="8"/>
        <v>107.68906250000001</v>
      </c>
      <c r="N21" s="192">
        <f t="shared" si="8"/>
        <v>110.3812890625</v>
      </c>
      <c r="O21" s="192">
        <f t="shared" si="8"/>
        <v>113.14082128906249</v>
      </c>
      <c r="P21" s="192">
        <f t="shared" si="8"/>
        <v>115.96934182128904</v>
      </c>
      <c r="Q21" s="192">
        <f t="shared" si="8"/>
        <v>118.86857536682123</v>
      </c>
    </row>
    <row r="22" spans="3:17">
      <c r="J22" s="82"/>
      <c r="K22" s="82"/>
      <c r="L22" s="82"/>
      <c r="M22" s="82"/>
      <c r="N22" s="82"/>
      <c r="O22" s="82"/>
      <c r="P22" s="82"/>
      <c r="Q22" s="82"/>
    </row>
    <row r="23" spans="3:17">
      <c r="D23" s="65" t="s">
        <v>236</v>
      </c>
      <c r="J23" s="114">
        <v>-40</v>
      </c>
      <c r="K23" s="114">
        <v>-41</v>
      </c>
      <c r="L23" s="114">
        <v>-42.024999999999999</v>
      </c>
      <c r="M23" s="114">
        <v>-43.075624999999995</v>
      </c>
      <c r="N23" s="114">
        <v>-44.152515624999992</v>
      </c>
      <c r="O23" s="114">
        <v>-45.256328515624986</v>
      </c>
      <c r="P23" s="114">
        <v>-46.387736728515605</v>
      </c>
      <c r="Q23" s="114">
        <v>-47.547430146728495</v>
      </c>
    </row>
    <row r="24" spans="3:17">
      <c r="J24" s="82"/>
      <c r="K24" s="82"/>
      <c r="L24" s="82"/>
      <c r="M24" s="82"/>
      <c r="N24" s="82"/>
      <c r="O24" s="82"/>
      <c r="P24" s="82"/>
      <c r="Q24" s="82"/>
    </row>
    <row r="25" spans="3:17" ht="11.25">
      <c r="C25" s="61" t="s">
        <v>10</v>
      </c>
      <c r="J25" s="192">
        <f>J21+J23</f>
        <v>60</v>
      </c>
      <c r="K25" s="192">
        <f t="shared" ref="K25:Q25" si="9">K21+K23</f>
        <v>61.5</v>
      </c>
      <c r="L25" s="192">
        <f t="shared" si="9"/>
        <v>63.037500000000001</v>
      </c>
      <c r="M25" s="192">
        <f t="shared" si="9"/>
        <v>64.613437500000003</v>
      </c>
      <c r="N25" s="192">
        <f t="shared" si="9"/>
        <v>66.22877343750001</v>
      </c>
      <c r="O25" s="192">
        <f t="shared" si="9"/>
        <v>67.884492773437501</v>
      </c>
      <c r="P25" s="192">
        <f t="shared" si="9"/>
        <v>69.58160509277343</v>
      </c>
      <c r="Q25" s="192">
        <f t="shared" si="9"/>
        <v>71.321145220092745</v>
      </c>
    </row>
    <row r="26" spans="3:17">
      <c r="J26" s="82"/>
      <c r="K26" s="82"/>
      <c r="L26" s="82"/>
      <c r="M26" s="82"/>
      <c r="N26" s="82"/>
      <c r="O26" s="82"/>
      <c r="P26" s="82"/>
      <c r="Q26" s="82"/>
    </row>
    <row r="27" spans="3:17">
      <c r="E27" s="65" t="s">
        <v>413</v>
      </c>
      <c r="J27" s="114">
        <v>-13.5</v>
      </c>
      <c r="K27" s="114">
        <v>-13.837499999999999</v>
      </c>
      <c r="L27" s="114">
        <v>-14.183437499999997</v>
      </c>
      <c r="M27" s="114">
        <v>-14.538023437499994</v>
      </c>
      <c r="N27" s="114">
        <v>-14.901474023437492</v>
      </c>
      <c r="O27" s="114">
        <v>-15.274010874023428</v>
      </c>
      <c r="P27" s="114">
        <v>-15.655861145874013</v>
      </c>
      <c r="Q27" s="114">
        <v>-16.047257674520861</v>
      </c>
    </row>
    <row r="28" spans="3:17">
      <c r="E28" s="65" t="s">
        <v>470</v>
      </c>
      <c r="J28" s="197">
        <v>-0.625</v>
      </c>
      <c r="K28" s="197">
        <v>-0.640625</v>
      </c>
      <c r="L28" s="197">
        <v>-0.65664062499999998</v>
      </c>
      <c r="M28" s="197">
        <v>-0.67305664062499992</v>
      </c>
      <c r="N28" s="197">
        <v>-0.68988305664062488</v>
      </c>
      <c r="O28" s="197">
        <v>-0.70713013305664041</v>
      </c>
      <c r="P28" s="197">
        <v>-0.72480838638305634</v>
      </c>
      <c r="Q28" s="197">
        <v>-0.74292859604263273</v>
      </c>
    </row>
    <row r="29" spans="3:17">
      <c r="D29" s="65" t="s">
        <v>472</v>
      </c>
      <c r="J29" s="198">
        <f>SUM(J27:J28)</f>
        <v>-14.125</v>
      </c>
      <c r="K29" s="198">
        <f t="shared" ref="K29:Q29" si="10">SUM(K27:K28)</f>
        <v>-14.478124999999999</v>
      </c>
      <c r="L29" s="198">
        <f t="shared" si="10"/>
        <v>-14.840078124999996</v>
      </c>
      <c r="M29" s="198">
        <f t="shared" si="10"/>
        <v>-15.211080078124994</v>
      </c>
      <c r="N29" s="198">
        <f t="shared" si="10"/>
        <v>-15.591357080078117</v>
      </c>
      <c r="O29" s="198">
        <f t="shared" si="10"/>
        <v>-15.981141007080069</v>
      </c>
      <c r="P29" s="198">
        <f t="shared" si="10"/>
        <v>-16.38066953225707</v>
      </c>
      <c r="Q29" s="198">
        <f t="shared" si="10"/>
        <v>-16.790186270563492</v>
      </c>
    </row>
    <row r="30" spans="3:17">
      <c r="J30" s="82"/>
      <c r="K30" s="82"/>
      <c r="L30" s="82"/>
      <c r="M30" s="82"/>
      <c r="N30" s="82"/>
      <c r="O30" s="82"/>
      <c r="P30" s="82"/>
      <c r="Q30" s="82"/>
    </row>
    <row r="31" spans="3:17" ht="11.25">
      <c r="C31" s="61" t="s">
        <v>11</v>
      </c>
      <c r="J31" s="192">
        <f t="shared" ref="J31:Q31" si="11">J25+J29</f>
        <v>45.875</v>
      </c>
      <c r="K31" s="192">
        <f t="shared" si="11"/>
        <v>47.021875000000001</v>
      </c>
      <c r="L31" s="192">
        <f t="shared" si="11"/>
        <v>48.197421875000003</v>
      </c>
      <c r="M31" s="192">
        <f t="shared" si="11"/>
        <v>49.40235742187501</v>
      </c>
      <c r="N31" s="192">
        <f t="shared" si="11"/>
        <v>50.637416357421891</v>
      </c>
      <c r="O31" s="192">
        <f t="shared" si="11"/>
        <v>51.903351766357432</v>
      </c>
      <c r="P31" s="192">
        <f t="shared" si="11"/>
        <v>53.200935560516356</v>
      </c>
      <c r="Q31" s="192">
        <f t="shared" si="11"/>
        <v>54.53095894952925</v>
      </c>
    </row>
    <row r="32" spans="3:17">
      <c r="J32" s="82"/>
      <c r="K32" s="82"/>
      <c r="L32" s="82"/>
      <c r="M32" s="82"/>
      <c r="N32" s="82"/>
      <c r="O32" s="82"/>
      <c r="P32" s="82"/>
      <c r="Q32" s="82"/>
    </row>
    <row r="33" spans="3:17">
      <c r="D33" s="65" t="s">
        <v>250</v>
      </c>
      <c r="J33" s="114">
        <v>-3.25</v>
      </c>
      <c r="K33" s="114">
        <v>-3.25</v>
      </c>
      <c r="L33" s="114">
        <v>-3.25</v>
      </c>
      <c r="M33" s="114">
        <v>-3.25</v>
      </c>
      <c r="N33" s="114">
        <v>-3.4125000000000001</v>
      </c>
      <c r="O33" s="114">
        <v>-3.5750000000000002</v>
      </c>
      <c r="P33" s="114">
        <v>-3.5750000000000002</v>
      </c>
      <c r="Q33" s="114">
        <v>-3.5750000000000002</v>
      </c>
    </row>
    <row r="34" spans="3:17">
      <c r="J34" s="82"/>
      <c r="K34" s="82"/>
      <c r="L34" s="82"/>
      <c r="M34" s="82"/>
      <c r="N34" s="82"/>
      <c r="O34" s="82"/>
      <c r="P34" s="82"/>
      <c r="Q34" s="82"/>
    </row>
    <row r="35" spans="3:17" ht="11.25">
      <c r="C35" s="61" t="s">
        <v>12</v>
      </c>
      <c r="J35" s="192">
        <f t="shared" ref="J35:Q35" si="12">J31+J33</f>
        <v>42.625</v>
      </c>
      <c r="K35" s="192">
        <f t="shared" si="12"/>
        <v>43.771875000000001</v>
      </c>
      <c r="L35" s="192">
        <f t="shared" si="12"/>
        <v>44.947421875000003</v>
      </c>
      <c r="M35" s="192">
        <f t="shared" si="12"/>
        <v>46.15235742187501</v>
      </c>
      <c r="N35" s="192">
        <f t="shared" si="12"/>
        <v>47.22491635742189</v>
      </c>
      <c r="O35" s="192">
        <f t="shared" si="12"/>
        <v>48.328351766357429</v>
      </c>
      <c r="P35" s="192">
        <f t="shared" si="12"/>
        <v>49.625935560516353</v>
      </c>
      <c r="Q35" s="192">
        <f t="shared" si="12"/>
        <v>50.955958949529247</v>
      </c>
    </row>
    <row r="36" spans="3:17">
      <c r="J36" s="82"/>
      <c r="K36" s="82"/>
      <c r="L36" s="82"/>
      <c r="M36" s="82"/>
      <c r="N36" s="82"/>
      <c r="O36" s="82"/>
      <c r="P36" s="82"/>
      <c r="Q36" s="82"/>
    </row>
    <row r="37" spans="3:17">
      <c r="D37" s="65" t="s">
        <v>7</v>
      </c>
      <c r="J37" s="114">
        <v>-12.7875</v>
      </c>
      <c r="K37" s="114">
        <v>-13.131562499999999</v>
      </c>
      <c r="L37" s="114">
        <v>-13.4842265625</v>
      </c>
      <c r="M37" s="114">
        <v>-13.845707226562503</v>
      </c>
      <c r="N37" s="114">
        <v>-14.167474907226566</v>
      </c>
      <c r="O37" s="114">
        <v>-14.498505529907227</v>
      </c>
      <c r="P37" s="114">
        <v>-14.887780668154907</v>
      </c>
      <c r="Q37" s="114">
        <v>-15.286787684858773</v>
      </c>
    </row>
    <row r="38" spans="3:17">
      <c r="J38" s="82"/>
      <c r="K38" s="82"/>
      <c r="L38" s="82"/>
      <c r="M38" s="82"/>
      <c r="N38" s="82"/>
      <c r="O38" s="82"/>
      <c r="P38" s="82"/>
      <c r="Q38" s="82"/>
    </row>
    <row r="39" spans="3:17" ht="12.75" thickBot="1">
      <c r="C39" s="193" t="s">
        <v>13</v>
      </c>
      <c r="J39" s="194">
        <f t="shared" ref="J39:Q39" si="13">J35+J37</f>
        <v>29.837499999999999</v>
      </c>
      <c r="K39" s="194">
        <f t="shared" si="13"/>
        <v>30.6403125</v>
      </c>
      <c r="L39" s="194">
        <f t="shared" si="13"/>
        <v>31.463195312500005</v>
      </c>
      <c r="M39" s="194">
        <f t="shared" si="13"/>
        <v>32.306650195312507</v>
      </c>
      <c r="N39" s="194">
        <f t="shared" si="13"/>
        <v>33.057441450195327</v>
      </c>
      <c r="O39" s="194">
        <f t="shared" si="13"/>
        <v>33.829846236450202</v>
      </c>
      <c r="P39" s="194">
        <f t="shared" si="13"/>
        <v>34.73815489236145</v>
      </c>
      <c r="Q39" s="194">
        <f t="shared" si="13"/>
        <v>35.669171264670474</v>
      </c>
    </row>
    <row r="40" spans="3:17" ht="11.25" thickTop="1"/>
    <row r="41" spans="3:17">
      <c r="C41" s="62" t="s">
        <v>203</v>
      </c>
    </row>
    <row r="42" spans="3:17" s="187" customFormat="1">
      <c r="C42" s="81">
        <v>1</v>
      </c>
      <c r="D42" s="130" t="str">
        <f>"All assumptions are entered in "&amp;INDEX(LU_Denom,DD_TS_Denom)&amp;"."</f>
        <v>All assumptions are entered in $Millions.</v>
      </c>
    </row>
    <row r="43" spans="3:17">
      <c r="C43" s="81">
        <v>2</v>
      </c>
      <c r="D43" s="65" t="s">
        <v>526</v>
      </c>
    </row>
  </sheetData>
  <mergeCells count="1">
    <mergeCell ref="B3:F3"/>
  </mergeCells>
  <conditionalFormatting sqref="J18:Q39">
    <cfRule type="expression" dxfId="85" priority="2" stopIfTrue="1">
      <formula>J$12=0</formula>
    </cfRule>
  </conditionalFormatting>
  <dataValidations count="1">
    <dataValidation type="custom" showErrorMessage="1" errorTitle="Invalid Assumption" error="Assumption must be a number." sqref="J18:Q19 J37:Q37 J33:Q33 J27:Q28 J23:Q23">
      <formula1>NOT(ISERROR(J18/1))</formula1>
    </dataValidation>
  </dataValidations>
  <hyperlinks>
    <hyperlink ref="B3" location="HL_Home" tooltip="Go to Table of Contents" display="HL_Home"/>
    <hyperlink ref="A4" location="$B$14" tooltip="Go to Top of Sheet" display="$B$14"/>
    <hyperlink ref="B4" location="HL_Sheet_Main_8" tooltip="Go to Previous Sheet" display="HL_Sheet_Main_8"/>
    <hyperlink ref="C4" location="HL_Sheet_Main_22" tooltip="Go to Next Sheet" display="HL_Sheet_Main_2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 r:id="rId2"/>
</worksheet>
</file>

<file path=xl/worksheets/sheet13.xml><?xml version="1.0" encoding="utf-8"?>
<worksheet xmlns="http://schemas.openxmlformats.org/spreadsheetml/2006/main" xmlns:r="http://schemas.openxmlformats.org/officeDocument/2006/relationships">
  <sheetPr codeName="Sheet13">
    <pageSetUpPr autoPageBreaks="0"/>
  </sheetPr>
  <dimension ref="A1:Q76"/>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525</v>
      </c>
    </row>
    <row r="2" spans="1:17" ht="15">
      <c r="B2" s="41" t="str">
        <f ca="1">Model_Name</f>
        <v>SMA 5. Assumption Entry Interfaces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I6" s="204"/>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0</v>
      </c>
      <c r="I16" s="206" t="s">
        <v>530</v>
      </c>
    </row>
    <row r="17" spans="3:17">
      <c r="I17" s="207">
        <f>TS_Start_Date</f>
        <v>40179</v>
      </c>
    </row>
    <row r="18" spans="3:17" ht="11.25">
      <c r="C18" s="61" t="s">
        <v>30</v>
      </c>
    </row>
    <row r="20" spans="3:17" s="229" customFormat="1">
      <c r="E20" s="65" t="s">
        <v>279</v>
      </c>
      <c r="J20" s="231">
        <f>I22</f>
        <v>5</v>
      </c>
      <c r="K20" s="231">
        <f t="shared" ref="K20:Q20" si="8">J22</f>
        <v>7.5</v>
      </c>
      <c r="L20" s="231">
        <f t="shared" si="8"/>
        <v>12.148336900684967</v>
      </c>
      <c r="M20" s="231">
        <f t="shared" si="8"/>
        <v>24.635307976188827</v>
      </c>
      <c r="N20" s="231">
        <f t="shared" si="8"/>
        <v>37.449752117669078</v>
      </c>
      <c r="O20" s="231">
        <f t="shared" si="8"/>
        <v>55.514020321295732</v>
      </c>
      <c r="P20" s="231">
        <f t="shared" si="8"/>
        <v>68.879098355013014</v>
      </c>
      <c r="Q20" s="231">
        <f t="shared" si="8"/>
        <v>82.666715156101688</v>
      </c>
    </row>
    <row r="21" spans="3:17" s="229" customFormat="1">
      <c r="E21" s="65" t="s">
        <v>555</v>
      </c>
      <c r="J21" s="242">
        <f>J22-J20</f>
        <v>2.5</v>
      </c>
      <c r="K21" s="242">
        <f t="shared" ref="K21:Q21" si="9">K22-K20</f>
        <v>4.6483369006849671</v>
      </c>
      <c r="L21" s="242">
        <f t="shared" si="9"/>
        <v>12.48697107550386</v>
      </c>
      <c r="M21" s="242">
        <f t="shared" si="9"/>
        <v>12.814444141480251</v>
      </c>
      <c r="N21" s="242">
        <f t="shared" si="9"/>
        <v>18.064268203626654</v>
      </c>
      <c r="O21" s="242">
        <f t="shared" si="9"/>
        <v>13.365078033717282</v>
      </c>
      <c r="P21" s="242">
        <f t="shared" si="9"/>
        <v>13.787616801088674</v>
      </c>
      <c r="Q21" s="242">
        <f t="shared" si="9"/>
        <v>14.149085792645892</v>
      </c>
    </row>
    <row r="22" spans="3:17">
      <c r="D22" s="65" t="s">
        <v>487</v>
      </c>
      <c r="I22" s="114">
        <v>5</v>
      </c>
      <c r="J22" s="243">
        <v>7.5</v>
      </c>
      <c r="K22" s="243">
        <v>12.148336900684967</v>
      </c>
      <c r="L22" s="243">
        <v>24.635307976188827</v>
      </c>
      <c r="M22" s="243">
        <v>37.449752117669078</v>
      </c>
      <c r="N22" s="243">
        <v>55.514020321295732</v>
      </c>
      <c r="O22" s="243">
        <v>68.879098355013014</v>
      </c>
      <c r="P22" s="243">
        <v>82.666715156101688</v>
      </c>
      <c r="Q22" s="243">
        <v>96.815800948747579</v>
      </c>
    </row>
    <row r="23" spans="3:17">
      <c r="D23" s="65" t="s">
        <v>298</v>
      </c>
      <c r="I23" s="114">
        <v>10.273972602739725</v>
      </c>
      <c r="J23" s="114">
        <v>10.273972602739725</v>
      </c>
      <c r="K23" s="114">
        <v>10.530821917808218</v>
      </c>
      <c r="L23" s="114">
        <v>10.764600409836065</v>
      </c>
      <c r="M23" s="114">
        <v>11.063944777397261</v>
      </c>
      <c r="N23" s="114">
        <v>11.340543396832192</v>
      </c>
      <c r="O23" s="114">
        <v>11.624056981752995</v>
      </c>
      <c r="P23" s="114">
        <v>11.882104694804204</v>
      </c>
      <c r="Q23" s="114">
        <v>12.212524866454237</v>
      </c>
    </row>
    <row r="24" spans="3:17">
      <c r="D24" s="65" t="s">
        <v>481</v>
      </c>
      <c r="I24" s="114">
        <v>3</v>
      </c>
      <c r="J24" s="114">
        <v>3</v>
      </c>
      <c r="K24" s="114">
        <v>4</v>
      </c>
      <c r="L24" s="114">
        <v>5</v>
      </c>
      <c r="M24" s="114">
        <v>6</v>
      </c>
      <c r="N24" s="114">
        <v>7</v>
      </c>
      <c r="O24" s="114">
        <v>8</v>
      </c>
      <c r="P24" s="114">
        <v>9</v>
      </c>
      <c r="Q24" s="114">
        <v>10</v>
      </c>
    </row>
    <row r="25" spans="3:17">
      <c r="D25" s="134" t="str">
        <f>"Total "&amp;C18</f>
        <v>Total Current Assets</v>
      </c>
      <c r="I25" s="129">
        <f>I22+SUM(I23:I24)</f>
        <v>18.273972602739725</v>
      </c>
      <c r="J25" s="129">
        <f>J22+SUM(J23:J24)</f>
        <v>20.773972602739725</v>
      </c>
      <c r="K25" s="129">
        <f t="shared" ref="K25:Q25" si="10">K22+SUM(K23:K24)</f>
        <v>26.679158818493185</v>
      </c>
      <c r="L25" s="129">
        <f t="shared" si="10"/>
        <v>40.39990838602489</v>
      </c>
      <c r="M25" s="129">
        <f t="shared" si="10"/>
        <v>54.513696895066339</v>
      </c>
      <c r="N25" s="129">
        <f t="shared" si="10"/>
        <v>73.85456371812792</v>
      </c>
      <c r="O25" s="129">
        <f t="shared" si="10"/>
        <v>88.503155336766014</v>
      </c>
      <c r="P25" s="129">
        <f t="shared" si="10"/>
        <v>103.54881985090589</v>
      </c>
      <c r="Q25" s="129">
        <f t="shared" si="10"/>
        <v>119.02832581520181</v>
      </c>
    </row>
    <row r="26" spans="3:17">
      <c r="I26" s="82"/>
      <c r="J26" s="82"/>
      <c r="K26" s="82"/>
      <c r="L26" s="82"/>
      <c r="M26" s="82"/>
      <c r="N26" s="82"/>
      <c r="O26" s="82"/>
      <c r="P26" s="82"/>
      <c r="Q26" s="82"/>
    </row>
    <row r="27" spans="3:17" ht="11.25">
      <c r="C27" s="61" t="s">
        <v>31</v>
      </c>
      <c r="I27" s="82"/>
      <c r="J27" s="82"/>
      <c r="K27" s="82"/>
      <c r="L27" s="82"/>
      <c r="M27" s="82"/>
      <c r="N27" s="82"/>
      <c r="O27" s="82"/>
      <c r="P27" s="82"/>
      <c r="Q27" s="82"/>
    </row>
    <row r="28" spans="3:17">
      <c r="I28" s="82"/>
      <c r="J28" s="82"/>
      <c r="K28" s="82"/>
      <c r="L28" s="82"/>
      <c r="M28" s="82"/>
      <c r="N28" s="82"/>
      <c r="O28" s="82"/>
      <c r="P28" s="82"/>
      <c r="Q28" s="82"/>
    </row>
    <row r="29" spans="3:17">
      <c r="D29" s="65" t="s">
        <v>455</v>
      </c>
      <c r="I29" s="114">
        <v>146.5</v>
      </c>
      <c r="J29" s="114">
        <v>146.5</v>
      </c>
      <c r="K29" s="114">
        <v>148.03749999999999</v>
      </c>
      <c r="L29" s="114">
        <v>149.6134375</v>
      </c>
      <c r="M29" s="114">
        <v>151.22877343750002</v>
      </c>
      <c r="N29" s="114">
        <v>152.88449277343753</v>
      </c>
      <c r="O29" s="114">
        <v>154.58160509277349</v>
      </c>
      <c r="P29" s="114">
        <v>156.32114522009283</v>
      </c>
      <c r="Q29" s="114">
        <v>158.10417385059515</v>
      </c>
    </row>
    <row r="30" spans="3:17">
      <c r="D30" s="65" t="s">
        <v>473</v>
      </c>
      <c r="I30" s="114">
        <v>13.375</v>
      </c>
      <c r="J30" s="114">
        <v>13.375</v>
      </c>
      <c r="K30" s="114">
        <v>15.296875</v>
      </c>
      <c r="L30" s="114">
        <v>17.266796874999997</v>
      </c>
      <c r="M30" s="114">
        <v>19.285966796874998</v>
      </c>
      <c r="N30" s="114">
        <v>21.355615966796872</v>
      </c>
      <c r="O30" s="114">
        <v>23.477006365966794</v>
      </c>
      <c r="P30" s="114">
        <v>25.651431525115964</v>
      </c>
      <c r="Q30" s="114">
        <v>27.880217313243865</v>
      </c>
    </row>
    <row r="31" spans="3:17">
      <c r="D31" s="65" t="s">
        <v>3</v>
      </c>
      <c r="I31" s="114">
        <v>0</v>
      </c>
      <c r="J31" s="114">
        <v>0</v>
      </c>
      <c r="K31" s="114">
        <v>0</v>
      </c>
      <c r="L31" s="114">
        <v>0</v>
      </c>
      <c r="M31" s="114">
        <v>0</v>
      </c>
      <c r="N31" s="114">
        <v>0</v>
      </c>
      <c r="O31" s="114">
        <v>0</v>
      </c>
      <c r="P31" s="114">
        <v>0</v>
      </c>
      <c r="Q31" s="114">
        <v>0</v>
      </c>
    </row>
    <row r="32" spans="3:17">
      <c r="D32" s="65" t="s">
        <v>483</v>
      </c>
      <c r="I32" s="114">
        <v>4</v>
      </c>
      <c r="J32" s="114">
        <v>4</v>
      </c>
      <c r="K32" s="114">
        <v>5</v>
      </c>
      <c r="L32" s="114">
        <v>6</v>
      </c>
      <c r="M32" s="114">
        <v>7</v>
      </c>
      <c r="N32" s="114">
        <v>8</v>
      </c>
      <c r="O32" s="114">
        <v>9</v>
      </c>
      <c r="P32" s="114">
        <v>10</v>
      </c>
      <c r="Q32" s="114">
        <v>11</v>
      </c>
    </row>
    <row r="33" spans="3:17">
      <c r="D33" s="134" t="str">
        <f>"Total "&amp;C27</f>
        <v>Total Non-Current Assets</v>
      </c>
      <c r="I33" s="129">
        <f>SUM(I29:I32)</f>
        <v>163.875</v>
      </c>
      <c r="J33" s="129">
        <f>SUM(J29:J32)</f>
        <v>163.875</v>
      </c>
      <c r="K33" s="129">
        <f t="shared" ref="K33:Q33" si="11">SUM(K29:K32)</f>
        <v>168.33437499999999</v>
      </c>
      <c r="L33" s="129">
        <f t="shared" si="11"/>
        <v>172.88023437499999</v>
      </c>
      <c r="M33" s="129">
        <f t="shared" si="11"/>
        <v>177.51474023437501</v>
      </c>
      <c r="N33" s="129">
        <f t="shared" si="11"/>
        <v>182.2401087402344</v>
      </c>
      <c r="O33" s="129">
        <f t="shared" si="11"/>
        <v>187.05861145874027</v>
      </c>
      <c r="P33" s="129">
        <f t="shared" si="11"/>
        <v>191.97257674520878</v>
      </c>
      <c r="Q33" s="129">
        <f t="shared" si="11"/>
        <v>196.98439116383901</v>
      </c>
    </row>
    <row r="34" spans="3:17">
      <c r="I34" s="82"/>
      <c r="J34" s="82"/>
      <c r="K34" s="82"/>
      <c r="L34" s="82"/>
      <c r="M34" s="82"/>
      <c r="N34" s="82"/>
      <c r="O34" s="82"/>
      <c r="P34" s="82"/>
      <c r="Q34" s="82"/>
    </row>
    <row r="35" spans="3:17" ht="11.25">
      <c r="C35" s="61" t="s">
        <v>32</v>
      </c>
      <c r="I35" s="192">
        <f t="shared" ref="I35:Q35" si="12">I25+I33</f>
        <v>182.14897260273972</v>
      </c>
      <c r="J35" s="192">
        <f t="shared" si="12"/>
        <v>184.64897260273972</v>
      </c>
      <c r="K35" s="192">
        <f t="shared" si="12"/>
        <v>195.01353381849319</v>
      </c>
      <c r="L35" s="192">
        <f t="shared" si="12"/>
        <v>213.28014276102488</v>
      </c>
      <c r="M35" s="192">
        <f t="shared" si="12"/>
        <v>232.02843712944136</v>
      </c>
      <c r="N35" s="192">
        <f t="shared" si="12"/>
        <v>256.09467245836231</v>
      </c>
      <c r="O35" s="192">
        <f t="shared" si="12"/>
        <v>275.56176679550629</v>
      </c>
      <c r="P35" s="192">
        <f t="shared" si="12"/>
        <v>295.52139659611464</v>
      </c>
      <c r="Q35" s="192">
        <f t="shared" si="12"/>
        <v>316.01271697904082</v>
      </c>
    </row>
    <row r="36" spans="3:17">
      <c r="I36" s="82"/>
      <c r="J36" s="82"/>
      <c r="K36" s="82"/>
      <c r="L36" s="82"/>
      <c r="M36" s="82"/>
      <c r="N36" s="82"/>
      <c r="O36" s="82"/>
      <c r="P36" s="82"/>
      <c r="Q36" s="82"/>
    </row>
    <row r="37" spans="3:17" ht="11.25">
      <c r="C37" s="61" t="s">
        <v>33</v>
      </c>
      <c r="I37" s="82"/>
      <c r="J37" s="82"/>
      <c r="K37" s="82"/>
      <c r="L37" s="82"/>
      <c r="M37" s="82"/>
      <c r="N37" s="82"/>
      <c r="O37" s="82"/>
      <c r="P37" s="82"/>
      <c r="Q37" s="82"/>
    </row>
    <row r="38" spans="3:17">
      <c r="I38" s="82"/>
      <c r="J38" s="82"/>
      <c r="K38" s="82"/>
      <c r="L38" s="82"/>
      <c r="M38" s="82"/>
      <c r="N38" s="82"/>
      <c r="O38" s="82"/>
      <c r="P38" s="82"/>
      <c r="Q38" s="82"/>
    </row>
    <row r="39" spans="3:17">
      <c r="D39" s="65" t="s">
        <v>299</v>
      </c>
      <c r="I39" s="114">
        <v>8.0136986301369859</v>
      </c>
      <c r="J39" s="114">
        <v>8.0136986301369859</v>
      </c>
      <c r="K39" s="114">
        <v>8.2140410958904102</v>
      </c>
      <c r="L39" s="114">
        <v>8.3963883196721305</v>
      </c>
      <c r="M39" s="114">
        <v>8.629876926369862</v>
      </c>
      <c r="N39" s="114">
        <v>8.8456238495291082</v>
      </c>
      <c r="O39" s="114">
        <v>9.0667644457673351</v>
      </c>
      <c r="P39" s="114">
        <v>9.2680416619472759</v>
      </c>
      <c r="Q39" s="114">
        <v>9.5257693958343044</v>
      </c>
    </row>
    <row r="40" spans="3:17">
      <c r="D40" s="65" t="s">
        <v>8</v>
      </c>
      <c r="I40" s="114">
        <v>12.787500000000001</v>
      </c>
      <c r="J40" s="114">
        <v>12.787500000000001</v>
      </c>
      <c r="K40" s="114">
        <v>13.131562500000003</v>
      </c>
      <c r="L40" s="114">
        <v>13.484226562500004</v>
      </c>
      <c r="M40" s="114">
        <v>13.845707226562508</v>
      </c>
      <c r="N40" s="114">
        <v>14.16747490722657</v>
      </c>
      <c r="O40" s="114">
        <v>14.498505529907231</v>
      </c>
      <c r="P40" s="114">
        <v>14.88778066815491</v>
      </c>
      <c r="Q40" s="114">
        <v>15.286787684858776</v>
      </c>
    </row>
    <row r="41" spans="3:17">
      <c r="D41" s="65" t="s">
        <v>540</v>
      </c>
      <c r="I41" s="114">
        <v>0</v>
      </c>
      <c r="J41" s="114">
        <v>0</v>
      </c>
      <c r="K41" s="114">
        <v>0</v>
      </c>
      <c r="L41" s="114">
        <v>0</v>
      </c>
      <c r="M41" s="114">
        <v>0</v>
      </c>
      <c r="N41" s="114">
        <v>0</v>
      </c>
      <c r="O41" s="114">
        <v>0</v>
      </c>
      <c r="P41" s="114">
        <v>0</v>
      </c>
      <c r="Q41" s="114">
        <v>0</v>
      </c>
    </row>
    <row r="42" spans="3:17">
      <c r="D42" s="65" t="s">
        <v>34</v>
      </c>
      <c r="I42" s="114">
        <v>0</v>
      </c>
      <c r="J42" s="114">
        <v>0</v>
      </c>
      <c r="K42" s="114">
        <v>0</v>
      </c>
      <c r="L42" s="114">
        <v>0</v>
      </c>
      <c r="M42" s="114">
        <v>0</v>
      </c>
      <c r="N42" s="114">
        <v>0</v>
      </c>
      <c r="O42" s="114">
        <v>0</v>
      </c>
      <c r="P42" s="114">
        <v>0</v>
      </c>
      <c r="Q42" s="114">
        <v>0</v>
      </c>
    </row>
    <row r="43" spans="3:17">
      <c r="D43" s="65" t="s">
        <v>482</v>
      </c>
      <c r="I43" s="114">
        <v>5</v>
      </c>
      <c r="J43" s="114">
        <v>5</v>
      </c>
      <c r="K43" s="114">
        <v>6</v>
      </c>
      <c r="L43" s="114">
        <v>7</v>
      </c>
      <c r="M43" s="114">
        <v>8</v>
      </c>
      <c r="N43" s="114">
        <v>9</v>
      </c>
      <c r="O43" s="114">
        <v>10</v>
      </c>
      <c r="P43" s="114">
        <v>11</v>
      </c>
      <c r="Q43" s="114">
        <v>12</v>
      </c>
    </row>
    <row r="44" spans="3:17">
      <c r="D44" s="134" t="str">
        <f>"Total "&amp;C37</f>
        <v>Total Current Liabilities</v>
      </c>
      <c r="I44" s="129">
        <f>SUM(I39:I43)</f>
        <v>25.801198630136987</v>
      </c>
      <c r="J44" s="129">
        <f>SUM(J39:J43)</f>
        <v>25.801198630136987</v>
      </c>
      <c r="K44" s="129">
        <f t="shared" ref="K44:Q44" si="13">SUM(K39:K43)</f>
        <v>27.345603595890413</v>
      </c>
      <c r="L44" s="129">
        <f t="shared" si="13"/>
        <v>28.880614882172132</v>
      </c>
      <c r="M44" s="129">
        <f t="shared" si="13"/>
        <v>30.47558415293237</v>
      </c>
      <c r="N44" s="129">
        <f t="shared" si="13"/>
        <v>32.013098756755682</v>
      </c>
      <c r="O44" s="129">
        <f t="shared" si="13"/>
        <v>33.565269975674568</v>
      </c>
      <c r="P44" s="129">
        <f t="shared" si="13"/>
        <v>35.155822330102183</v>
      </c>
      <c r="Q44" s="129">
        <f t="shared" si="13"/>
        <v>36.812557080693082</v>
      </c>
    </row>
    <row r="45" spans="3:17">
      <c r="I45" s="82"/>
      <c r="J45" s="82"/>
      <c r="K45" s="82"/>
      <c r="L45" s="82"/>
      <c r="M45" s="82"/>
      <c r="N45" s="82"/>
      <c r="O45" s="82"/>
      <c r="P45" s="82"/>
      <c r="Q45" s="82"/>
    </row>
    <row r="46" spans="3:17" ht="11.25">
      <c r="C46" s="61" t="s">
        <v>35</v>
      </c>
      <c r="I46" s="82"/>
      <c r="J46" s="82"/>
      <c r="K46" s="82"/>
      <c r="L46" s="82"/>
      <c r="M46" s="82"/>
      <c r="N46" s="82"/>
      <c r="O46" s="82"/>
      <c r="P46" s="82"/>
      <c r="Q46" s="82"/>
    </row>
    <row r="47" spans="3:17">
      <c r="I47" s="82"/>
      <c r="J47" s="82"/>
      <c r="K47" s="82"/>
      <c r="L47" s="82"/>
      <c r="M47" s="82"/>
      <c r="N47" s="82"/>
      <c r="O47" s="82"/>
      <c r="P47" s="82"/>
      <c r="Q47" s="82"/>
    </row>
    <row r="48" spans="3:17">
      <c r="D48" s="65" t="s">
        <v>254</v>
      </c>
      <c r="I48" s="114">
        <v>50</v>
      </c>
      <c r="J48" s="114">
        <v>50</v>
      </c>
      <c r="K48" s="114">
        <v>50</v>
      </c>
      <c r="L48" s="114">
        <v>50</v>
      </c>
      <c r="M48" s="114">
        <v>50</v>
      </c>
      <c r="N48" s="114">
        <v>55</v>
      </c>
      <c r="O48" s="114">
        <v>55</v>
      </c>
      <c r="P48" s="114">
        <v>55</v>
      </c>
      <c r="Q48" s="114">
        <v>55</v>
      </c>
    </row>
    <row r="49" spans="3:17">
      <c r="D49" s="65" t="s">
        <v>4</v>
      </c>
      <c r="I49" s="114">
        <v>0</v>
      </c>
      <c r="J49" s="114">
        <v>0</v>
      </c>
      <c r="K49" s="114">
        <v>0</v>
      </c>
      <c r="L49" s="114">
        <v>0</v>
      </c>
      <c r="M49" s="114">
        <v>0</v>
      </c>
      <c r="N49" s="114">
        <v>0</v>
      </c>
      <c r="O49" s="114">
        <v>0</v>
      </c>
      <c r="P49" s="114">
        <v>0</v>
      </c>
      <c r="Q49" s="114">
        <v>0</v>
      </c>
    </row>
    <row r="50" spans="3:17">
      <c r="D50" s="65" t="s">
        <v>484</v>
      </c>
      <c r="I50" s="114">
        <v>6</v>
      </c>
      <c r="J50" s="114">
        <v>6</v>
      </c>
      <c r="K50" s="114">
        <v>7</v>
      </c>
      <c r="L50" s="114">
        <v>8</v>
      </c>
      <c r="M50" s="114">
        <v>9</v>
      </c>
      <c r="N50" s="114">
        <v>10</v>
      </c>
      <c r="O50" s="114">
        <v>11</v>
      </c>
      <c r="P50" s="114">
        <v>12</v>
      </c>
      <c r="Q50" s="114">
        <v>13</v>
      </c>
    </row>
    <row r="51" spans="3:17">
      <c r="D51" s="134" t="str">
        <f>"Total "&amp;C46</f>
        <v>Total Non-Current Liabilities</v>
      </c>
      <c r="I51" s="129">
        <f>SUM(I48:I50)</f>
        <v>56</v>
      </c>
      <c r="J51" s="129">
        <f>SUM(J48:J50)</f>
        <v>56</v>
      </c>
      <c r="K51" s="129">
        <f t="shared" ref="K51:Q51" si="14">SUM(K48:K50)</f>
        <v>57</v>
      </c>
      <c r="L51" s="129">
        <f t="shared" si="14"/>
        <v>58</v>
      </c>
      <c r="M51" s="129">
        <f t="shared" si="14"/>
        <v>59</v>
      </c>
      <c r="N51" s="129">
        <f t="shared" si="14"/>
        <v>65</v>
      </c>
      <c r="O51" s="129">
        <f t="shared" si="14"/>
        <v>66</v>
      </c>
      <c r="P51" s="129">
        <f t="shared" si="14"/>
        <v>67</v>
      </c>
      <c r="Q51" s="129">
        <f t="shared" si="14"/>
        <v>68</v>
      </c>
    </row>
    <row r="52" spans="3:17">
      <c r="I52" s="82"/>
      <c r="J52" s="82"/>
      <c r="K52" s="82"/>
      <c r="L52" s="82"/>
      <c r="M52" s="82"/>
      <c r="N52" s="82"/>
      <c r="O52" s="82"/>
      <c r="P52" s="82"/>
      <c r="Q52" s="82"/>
    </row>
    <row r="53" spans="3:17" ht="11.25">
      <c r="C53" s="61" t="s">
        <v>36</v>
      </c>
      <c r="I53" s="192">
        <f t="shared" ref="I53:Q53" si="15">I44+I51</f>
        <v>81.80119863013698</v>
      </c>
      <c r="J53" s="192">
        <f t="shared" si="15"/>
        <v>81.80119863013698</v>
      </c>
      <c r="K53" s="192">
        <f t="shared" si="15"/>
        <v>84.34560359589041</v>
      </c>
      <c r="L53" s="192">
        <f t="shared" si="15"/>
        <v>86.880614882172125</v>
      </c>
      <c r="M53" s="192">
        <f t="shared" si="15"/>
        <v>89.47558415293237</v>
      </c>
      <c r="N53" s="192">
        <f t="shared" si="15"/>
        <v>97.013098756755682</v>
      </c>
      <c r="O53" s="192">
        <f t="shared" si="15"/>
        <v>99.565269975674568</v>
      </c>
      <c r="P53" s="192">
        <f t="shared" si="15"/>
        <v>102.15582233010218</v>
      </c>
      <c r="Q53" s="192">
        <f t="shared" si="15"/>
        <v>104.81255708069308</v>
      </c>
    </row>
    <row r="54" spans="3:17">
      <c r="I54" s="82"/>
      <c r="J54" s="82"/>
      <c r="K54" s="82"/>
      <c r="L54" s="82"/>
      <c r="M54" s="82"/>
      <c r="N54" s="82"/>
      <c r="O54" s="82"/>
      <c r="P54" s="82"/>
      <c r="Q54" s="82"/>
    </row>
    <row r="55" spans="3:17" ht="12" thickBot="1">
      <c r="C55" s="61" t="s">
        <v>37</v>
      </c>
      <c r="I55" s="194">
        <f t="shared" ref="I55:Q55" si="16">I35-I53</f>
        <v>100.34777397260274</v>
      </c>
      <c r="J55" s="194">
        <f t="shared" si="16"/>
        <v>102.84777397260274</v>
      </c>
      <c r="K55" s="194">
        <f t="shared" si="16"/>
        <v>110.66793022260278</v>
      </c>
      <c r="L55" s="194">
        <f t="shared" si="16"/>
        <v>126.39952787885275</v>
      </c>
      <c r="M55" s="194">
        <f t="shared" si="16"/>
        <v>142.55285297650897</v>
      </c>
      <c r="N55" s="194">
        <f t="shared" si="16"/>
        <v>159.08157370160663</v>
      </c>
      <c r="O55" s="194">
        <f t="shared" si="16"/>
        <v>175.99649681983172</v>
      </c>
      <c r="P55" s="194">
        <f t="shared" si="16"/>
        <v>193.36557426601246</v>
      </c>
      <c r="Q55" s="194">
        <f t="shared" si="16"/>
        <v>211.20015989834775</v>
      </c>
    </row>
    <row r="56" spans="3:17" ht="11.25" thickTop="1">
      <c r="I56" s="82"/>
      <c r="J56" s="82"/>
      <c r="K56" s="82"/>
      <c r="L56" s="82"/>
      <c r="M56" s="82"/>
      <c r="N56" s="82"/>
      <c r="O56" s="82"/>
      <c r="P56" s="82"/>
      <c r="Q56" s="82"/>
    </row>
    <row r="57" spans="3:17" ht="11.25">
      <c r="C57" s="61" t="s">
        <v>38</v>
      </c>
      <c r="I57" s="82"/>
      <c r="J57" s="82"/>
      <c r="K57" s="82"/>
      <c r="L57" s="82"/>
      <c r="M57" s="82"/>
      <c r="N57" s="82"/>
      <c r="O57" s="82"/>
      <c r="P57" s="82"/>
      <c r="Q57" s="82"/>
    </row>
    <row r="58" spans="3:17">
      <c r="I58" s="82"/>
      <c r="J58" s="82"/>
      <c r="K58" s="82"/>
      <c r="L58" s="82"/>
      <c r="M58" s="82"/>
      <c r="N58" s="82"/>
      <c r="O58" s="82"/>
      <c r="P58" s="82"/>
      <c r="Q58" s="82"/>
    </row>
    <row r="59" spans="3:17">
      <c r="D59" s="65" t="s">
        <v>271</v>
      </c>
      <c r="I59" s="114">
        <v>75</v>
      </c>
      <c r="J59" s="114">
        <v>75</v>
      </c>
      <c r="K59" s="114">
        <v>75</v>
      </c>
      <c r="L59" s="114">
        <v>75</v>
      </c>
      <c r="M59" s="114">
        <v>75</v>
      </c>
      <c r="N59" s="114">
        <v>75</v>
      </c>
      <c r="O59" s="114">
        <v>75</v>
      </c>
      <c r="P59" s="114">
        <v>75</v>
      </c>
      <c r="Q59" s="114">
        <v>75</v>
      </c>
    </row>
    <row r="60" spans="3:17" s="204" customFormat="1">
      <c r="D60" s="65" t="s">
        <v>556</v>
      </c>
      <c r="I60" s="114">
        <v>5</v>
      </c>
      <c r="J60" s="114">
        <v>5</v>
      </c>
      <c r="K60" s="114">
        <v>5</v>
      </c>
      <c r="L60" s="114">
        <v>5</v>
      </c>
      <c r="M60" s="114">
        <v>5</v>
      </c>
      <c r="N60" s="114">
        <v>5</v>
      </c>
      <c r="O60" s="114">
        <v>5</v>
      </c>
      <c r="P60" s="114">
        <v>5</v>
      </c>
      <c r="Q60" s="114">
        <v>5</v>
      </c>
    </row>
    <row r="61" spans="3:17" s="204" customFormat="1">
      <c r="E61" s="65" t="s">
        <v>531</v>
      </c>
      <c r="I61" s="114">
        <v>20.347773972602738</v>
      </c>
      <c r="J61" s="114">
        <v>22.847773972602738</v>
      </c>
      <c r="K61" s="114">
        <v>30.667930222602777</v>
      </c>
      <c r="L61" s="114">
        <v>46.399527878852751</v>
      </c>
      <c r="M61" s="114">
        <v>62.552852976508973</v>
      </c>
      <c r="N61" s="114">
        <v>79.081573701606629</v>
      </c>
      <c r="O61" s="114">
        <v>95.996496819831719</v>
      </c>
      <c r="P61" s="114">
        <v>113.36557426601246</v>
      </c>
      <c r="Q61" s="114">
        <v>131.20015989834775</v>
      </c>
    </row>
    <row r="62" spans="3:17">
      <c r="E62" s="65" t="s">
        <v>532</v>
      </c>
      <c r="I62" s="239">
        <f>I55-SUM(I59:I61)</f>
        <v>0</v>
      </c>
      <c r="J62" s="239">
        <f t="shared" ref="J62:Q62" si="17">J55-SUM(J59:J61)</f>
        <v>0</v>
      </c>
      <c r="K62" s="239">
        <f t="shared" si="17"/>
        <v>0</v>
      </c>
      <c r="L62" s="239">
        <f t="shared" si="17"/>
        <v>0</v>
      </c>
      <c r="M62" s="239">
        <f t="shared" si="17"/>
        <v>0</v>
      </c>
      <c r="N62" s="239">
        <f t="shared" si="17"/>
        <v>0</v>
      </c>
      <c r="O62" s="239">
        <f t="shared" si="17"/>
        <v>0</v>
      </c>
      <c r="P62" s="239">
        <f t="shared" si="17"/>
        <v>0</v>
      </c>
      <c r="Q62" s="239">
        <f t="shared" si="17"/>
        <v>0</v>
      </c>
    </row>
    <row r="63" spans="3:17">
      <c r="D63" s="65" t="s">
        <v>39</v>
      </c>
      <c r="I63" s="231">
        <f>SUM(I61:I62)</f>
        <v>20.347773972602738</v>
      </c>
      <c r="J63" s="231">
        <f t="shared" ref="J63:Q63" si="18">SUM(J61:J62)</f>
        <v>22.847773972602738</v>
      </c>
      <c r="K63" s="231">
        <f t="shared" si="18"/>
        <v>30.667930222602777</v>
      </c>
      <c r="L63" s="231">
        <f t="shared" si="18"/>
        <v>46.399527878852751</v>
      </c>
      <c r="M63" s="231">
        <f t="shared" si="18"/>
        <v>62.552852976508973</v>
      </c>
      <c r="N63" s="231">
        <f t="shared" si="18"/>
        <v>79.081573701606629</v>
      </c>
      <c r="O63" s="231">
        <f t="shared" si="18"/>
        <v>95.996496819831719</v>
      </c>
      <c r="P63" s="231">
        <f t="shared" si="18"/>
        <v>113.36557426601246</v>
      </c>
      <c r="Q63" s="231">
        <f t="shared" si="18"/>
        <v>131.20015989834775</v>
      </c>
    </row>
    <row r="64" spans="3:17">
      <c r="I64" s="82"/>
      <c r="J64" s="82"/>
      <c r="K64" s="82"/>
      <c r="L64" s="82"/>
      <c r="M64" s="82"/>
      <c r="N64" s="82"/>
      <c r="O64" s="82"/>
      <c r="P64" s="82"/>
      <c r="Q64" s="82"/>
    </row>
    <row r="65" spans="3:17" ht="12" thickBot="1">
      <c r="C65" s="128" t="str">
        <f>"Total "&amp;C57</f>
        <v>Total Equity</v>
      </c>
      <c r="I65" s="194">
        <f>I59+I60+I63</f>
        <v>100.34777397260274</v>
      </c>
      <c r="J65" s="194">
        <f t="shared" ref="J65:Q65" si="19">J59+J60+J63</f>
        <v>102.84777397260274</v>
      </c>
      <c r="K65" s="194">
        <f t="shared" si="19"/>
        <v>110.66793022260278</v>
      </c>
      <c r="L65" s="194">
        <f t="shared" si="19"/>
        <v>126.39952787885275</v>
      </c>
      <c r="M65" s="194">
        <f t="shared" si="19"/>
        <v>142.55285297650897</v>
      </c>
      <c r="N65" s="194">
        <f t="shared" si="19"/>
        <v>159.08157370160663</v>
      </c>
      <c r="O65" s="194">
        <f t="shared" si="19"/>
        <v>175.99649681983172</v>
      </c>
      <c r="P65" s="194">
        <f t="shared" si="19"/>
        <v>193.36557426601246</v>
      </c>
      <c r="Q65" s="194">
        <f t="shared" si="19"/>
        <v>211.20015989834775</v>
      </c>
    </row>
    <row r="66" spans="3:17" s="204" customFormat="1" ht="12" thickTop="1">
      <c r="C66" s="128"/>
      <c r="I66" s="241"/>
      <c r="J66" s="241"/>
      <c r="K66" s="241"/>
      <c r="L66" s="241"/>
      <c r="M66" s="241"/>
      <c r="N66" s="241"/>
      <c r="O66" s="241"/>
      <c r="P66" s="241"/>
      <c r="Q66" s="241"/>
    </row>
    <row r="67" spans="3:17" s="204" customFormat="1" hidden="1" outlineLevel="2">
      <c r="D67" s="65" t="s">
        <v>563</v>
      </c>
      <c r="I67" s="199">
        <f>IF(ISERROR(I55-I65),1,0)</f>
        <v>0</v>
      </c>
      <c r="J67" s="199">
        <f t="shared" ref="J67:Q67" si="20">IF(ISERROR(J55-J65),1,0)</f>
        <v>0</v>
      </c>
      <c r="K67" s="199">
        <f t="shared" si="20"/>
        <v>0</v>
      </c>
      <c r="L67" s="199">
        <f t="shared" si="20"/>
        <v>0</v>
      </c>
      <c r="M67" s="199">
        <f t="shared" si="20"/>
        <v>0</v>
      </c>
      <c r="N67" s="199">
        <f t="shared" si="20"/>
        <v>0</v>
      </c>
      <c r="O67" s="199">
        <f t="shared" si="20"/>
        <v>0</v>
      </c>
      <c r="P67" s="199">
        <f t="shared" si="20"/>
        <v>0</v>
      </c>
      <c r="Q67" s="199">
        <f t="shared" si="20"/>
        <v>0</v>
      </c>
    </row>
    <row r="68" spans="3:17" s="204" customFormat="1" hidden="1" outlineLevel="2">
      <c r="D68" s="65" t="s">
        <v>528</v>
      </c>
      <c r="I68" s="200">
        <f>IF(I67&lt;&gt;0,0,(ROUND(I55-I65,5)&lt;&gt;0)*1)</f>
        <v>0</v>
      </c>
      <c r="J68" s="200">
        <f t="shared" ref="J68:Q68" si="21">IF(J67&lt;&gt;0,0,(ROUND(J55-J65,5)&lt;&gt;0)*1)</f>
        <v>0</v>
      </c>
      <c r="K68" s="200">
        <f t="shared" si="21"/>
        <v>0</v>
      </c>
      <c r="L68" s="200">
        <f t="shared" si="21"/>
        <v>0</v>
      </c>
      <c r="M68" s="200">
        <f t="shared" si="21"/>
        <v>0</v>
      </c>
      <c r="N68" s="200">
        <f t="shared" si="21"/>
        <v>0</v>
      </c>
      <c r="O68" s="200">
        <f t="shared" si="21"/>
        <v>0</v>
      </c>
      <c r="P68" s="200">
        <f t="shared" si="21"/>
        <v>0</v>
      </c>
      <c r="Q68" s="200">
        <f t="shared" si="21"/>
        <v>0</v>
      </c>
    </row>
    <row r="69" spans="3:17" s="204" customFormat="1" collapsed="1">
      <c r="C69" s="65" t="s">
        <v>414</v>
      </c>
      <c r="H69" s="195">
        <f>IF(ISERROR(SUM(I69:Q69)),0,MIN(SUM(I69:Q69),1))</f>
        <v>0</v>
      </c>
      <c r="I69" s="196">
        <f t="shared" ref="I69:Q69" si="22">MIN(SUM(I67:I68),1)</f>
        <v>0</v>
      </c>
      <c r="J69" s="196">
        <f t="shared" si="22"/>
        <v>0</v>
      </c>
      <c r="K69" s="196">
        <f t="shared" si="22"/>
        <v>0</v>
      </c>
      <c r="L69" s="196">
        <f t="shared" si="22"/>
        <v>0</v>
      </c>
      <c r="M69" s="196">
        <f t="shared" si="22"/>
        <v>0</v>
      </c>
      <c r="N69" s="196">
        <f t="shared" si="22"/>
        <v>0</v>
      </c>
      <c r="O69" s="196">
        <f t="shared" si="22"/>
        <v>0</v>
      </c>
      <c r="P69" s="196">
        <f t="shared" si="22"/>
        <v>0</v>
      </c>
      <c r="Q69" s="196">
        <f t="shared" si="22"/>
        <v>0</v>
      </c>
    </row>
    <row r="70" spans="3:17" hidden="1" outlineLevel="2">
      <c r="J70" s="229"/>
      <c r="K70" s="229"/>
      <c r="L70" s="229"/>
      <c r="M70" s="229"/>
      <c r="N70" s="229"/>
      <c r="O70" s="229"/>
      <c r="P70" s="229"/>
      <c r="Q70" s="229"/>
    </row>
    <row r="71" spans="3:17" hidden="1" outlineLevel="2">
      <c r="D71" s="65" t="s">
        <v>527</v>
      </c>
      <c r="I71" s="246">
        <f>IF(I$12=0,0,IF(ISERROR(I22),1,IF(ROUND(I22,5)&lt;0,1,0)))</f>
        <v>0</v>
      </c>
      <c r="J71" s="246">
        <f>IF(J$12=0,0,IF(ISERROR(J22),1,IF(ROUND(J22,5)&lt;0,1,0)))</f>
        <v>0</v>
      </c>
      <c r="K71" s="246">
        <f t="shared" ref="K71:Q71" si="23">IF(K$12=0,0,IF(ISERROR(K22),1,IF(ROUND(K22,5)&lt;0,1,0)))</f>
        <v>0</v>
      </c>
      <c r="L71" s="246">
        <f t="shared" si="23"/>
        <v>0</v>
      </c>
      <c r="M71" s="246">
        <f t="shared" si="23"/>
        <v>0</v>
      </c>
      <c r="N71" s="246">
        <f t="shared" si="23"/>
        <v>0</v>
      </c>
      <c r="O71" s="246">
        <f t="shared" si="23"/>
        <v>0</v>
      </c>
      <c r="P71" s="246">
        <f t="shared" si="23"/>
        <v>0</v>
      </c>
      <c r="Q71" s="246">
        <f t="shared" si="23"/>
        <v>0</v>
      </c>
    </row>
    <row r="72" spans="3:17" hidden="1" outlineLevel="2">
      <c r="D72" s="65" t="s">
        <v>528</v>
      </c>
      <c r="I72" s="200">
        <f>IF(OR(ISBLANK(I$12),I$12&lt;&gt;0),IF(ISERROR(I62),1,IF(ROUND(I62,5)&lt;&gt;0,1,0)),0)</f>
        <v>0</v>
      </c>
      <c r="J72" s="200">
        <f t="shared" ref="J72:Q72" si="24">IF(OR(ISBLANK(J$12),J$12&lt;&gt;0),IF(ISERROR(J62),1,IF(ROUND(J62,5)&lt;&gt;0,1,0)),0)</f>
        <v>0</v>
      </c>
      <c r="K72" s="200">
        <f t="shared" si="24"/>
        <v>0</v>
      </c>
      <c r="L72" s="200">
        <f t="shared" si="24"/>
        <v>0</v>
      </c>
      <c r="M72" s="200">
        <f t="shared" si="24"/>
        <v>0</v>
      </c>
      <c r="N72" s="200">
        <f t="shared" si="24"/>
        <v>0</v>
      </c>
      <c r="O72" s="200">
        <f t="shared" si="24"/>
        <v>0</v>
      </c>
      <c r="P72" s="200">
        <f t="shared" si="24"/>
        <v>0</v>
      </c>
      <c r="Q72" s="200">
        <f t="shared" si="24"/>
        <v>0</v>
      </c>
    </row>
    <row r="73" spans="3:17" collapsed="1">
      <c r="C73" s="65" t="s">
        <v>529</v>
      </c>
      <c r="H73" s="195">
        <f>IF(ISERROR(SUM(I73:Q73)),0,MIN(SUM(I73:Q73),1))</f>
        <v>0</v>
      </c>
      <c r="I73" s="196">
        <f t="shared" ref="I73:Q73" si="25">MIN(SUM(I71:I72),1)</f>
        <v>0</v>
      </c>
      <c r="J73" s="196">
        <f t="shared" si="25"/>
        <v>0</v>
      </c>
      <c r="K73" s="196">
        <f t="shared" si="25"/>
        <v>0</v>
      </c>
      <c r="L73" s="196">
        <f t="shared" si="25"/>
        <v>0</v>
      </c>
      <c r="M73" s="196">
        <f t="shared" si="25"/>
        <v>0</v>
      </c>
      <c r="N73" s="196">
        <f t="shared" si="25"/>
        <v>0</v>
      </c>
      <c r="O73" s="196">
        <f t="shared" si="25"/>
        <v>0</v>
      </c>
      <c r="P73" s="196">
        <f t="shared" si="25"/>
        <v>0</v>
      </c>
      <c r="Q73" s="196">
        <f t="shared" si="25"/>
        <v>0</v>
      </c>
    </row>
    <row r="75" spans="3:17">
      <c r="C75" s="62" t="s">
        <v>203</v>
      </c>
      <c r="D75" s="187"/>
    </row>
    <row r="76" spans="3:17">
      <c r="C76" s="81">
        <v>1</v>
      </c>
      <c r="D76" s="130" t="str">
        <f>"All assumptions are entered in "&amp;INDEX(LU_Denom,DD_TS_Denom)&amp;"."</f>
        <v>All assumptions are entered in $Millions.</v>
      </c>
    </row>
  </sheetData>
  <mergeCells count="1">
    <mergeCell ref="B3:F3"/>
  </mergeCells>
  <conditionalFormatting sqref="C73">
    <cfRule type="expression" dxfId="84" priority="13" stopIfTrue="1">
      <formula>H73&lt;&gt;0</formula>
    </cfRule>
  </conditionalFormatting>
  <conditionalFormatting sqref="C69">
    <cfRule type="expression" dxfId="83" priority="2" stopIfTrue="1">
      <formula>H69&lt;&gt;0</formula>
    </cfRule>
  </conditionalFormatting>
  <conditionalFormatting sqref="I67:Q69 I71:Q73">
    <cfRule type="cellIs" dxfId="82" priority="16" stopIfTrue="1" operator="notEqual">
      <formula>0</formula>
    </cfRule>
  </conditionalFormatting>
  <conditionalFormatting sqref="I20:Q65">
    <cfRule type="expression" dxfId="81" priority="18" stopIfTrue="1">
      <formula>AND(NOT(ISBLANK(I$12)),I$12=0)</formula>
    </cfRule>
  </conditionalFormatting>
  <dataValidations disablePrompts="1" count="1">
    <dataValidation type="custom" showErrorMessage="1" errorTitle="Invalid Assumption" error="Assumption must be a number." sqref="I59:Q60 K61:Q61 I29:Q32 I39:Q43 I48:Q50 I22:Q24">
      <formula1>NOT(ISERROR(I22/1))</formula1>
    </dataValidation>
  </dataValidations>
  <hyperlinks>
    <hyperlink ref="B3" location="HL_Home" tooltip="Go to Table of Contents" display="HL_Home"/>
    <hyperlink ref="A4" location="$B$14" tooltip="Go to Top of Sheet" display="$B$14"/>
    <hyperlink ref="B4" location="HL_Sheet_Main_21" tooltip="Go to Previous Sheet" display="HL_Sheet_Main_21"/>
    <hyperlink ref="C4" location="HL_Sheet_Main_23" tooltip="Go to Next Sheet" display="HL_Sheet_Main_2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14.xml><?xml version="1.0" encoding="utf-8"?>
<worksheet xmlns="http://schemas.openxmlformats.org/spreadsheetml/2006/main" xmlns:r="http://schemas.openxmlformats.org/officeDocument/2006/relationships">
  <sheetPr codeName="Sheet14">
    <pageSetUpPr autoPageBreaks="0"/>
  </sheetPr>
  <dimension ref="A1:Q5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12" width="12.83203125" style="181"/>
    <col min="13" max="17" width="12.83203125" style="181" customWidth="1"/>
    <col min="18" max="16384" width="12.83203125" style="181"/>
  </cols>
  <sheetData>
    <row r="1" spans="1:17" ht="18">
      <c r="B1" s="42" t="s">
        <v>581</v>
      </c>
    </row>
    <row r="2" spans="1:17" ht="15">
      <c r="B2" s="41" t="str">
        <f ca="1">Model_Name</f>
        <v>SMA 5. Assumption Entry Interfaces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c r="B6" s="54" t="str">
        <f>IF(TS_Data_Final_Stub,"Period End Date",IF(TS_Pers_In_Yr=1,"",TS_Per_Type_Name&amp;" Ending"))</f>
        <v/>
      </c>
      <c r="J6" s="188" t="str">
        <f t="shared" ref="J6:Q6" si="0">IF(J12=0,IF(TS_Data_Final_Stub,"- ",IF(TS_Pers_In_Yr=1,"",0)),IF(TS_Data_Final_Stub,J9,IF(TS_Pers_In_Yr=1,"",LEFT(INDEX(LU_Mth_Names,MONTH(J9)),3)&amp;"-"&amp;RIGHT(YEAR(J9),2))&amp;" "))</f>
        <v xml:space="preserve"> </v>
      </c>
      <c r="K6" s="188" t="str">
        <f t="shared" si="0"/>
        <v xml:space="preserve"> </v>
      </c>
      <c r="L6" s="188" t="str">
        <f t="shared" si="0"/>
        <v xml:space="preserve"> </v>
      </c>
      <c r="M6" s="188" t="str">
        <f t="shared" si="0"/>
        <v/>
      </c>
      <c r="N6" s="188" t="str">
        <f t="shared" si="0"/>
        <v/>
      </c>
      <c r="O6" s="188" t="str">
        <f t="shared" si="0"/>
        <v/>
      </c>
      <c r="P6" s="188" t="str">
        <f t="shared" si="0"/>
        <v/>
      </c>
      <c r="Q6" s="188" t="str">
        <f t="shared" si="0"/>
        <v/>
      </c>
    </row>
    <row r="7" spans="1:17">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IF(TS_Pers_In_Yr=1,J10&amp;" ",J11)&amp;IF(CB_TS_Show_Hist_Fcast_Pers,IF(J12&lt;=TS_Actual_Pers,TS_Actual_Per_Title,
IF(J12&lt;=TS_Actual_Pers+TS_Budget_Pers,TS_Budget_Per_Title,TS_Fcast_Per_Title))&amp;" ",""))</f>
        <v xml:space="preserve">2010 (A) </v>
      </c>
      <c r="K7" s="59" t="str">
        <f t="shared" si="1"/>
        <v xml:space="preserve">2011 (A) </v>
      </c>
      <c r="L7" s="59" t="str">
        <f t="shared" si="1"/>
        <v xml:space="preserve">2012 (A) </v>
      </c>
      <c r="M7" s="59" t="str">
        <f t="shared" si="1"/>
        <v xml:space="preserve">- </v>
      </c>
      <c r="N7" s="59" t="str">
        <f t="shared" si="1"/>
        <v xml:space="preserve">- </v>
      </c>
      <c r="O7" s="59" t="str">
        <f t="shared" si="1"/>
        <v xml:space="preserve">- </v>
      </c>
      <c r="P7" s="59" t="str">
        <f t="shared" si="1"/>
        <v xml:space="preserve">- </v>
      </c>
      <c r="Q7" s="59" t="str">
        <f t="shared" si="1"/>
        <v xml:space="preserve">- </v>
      </c>
    </row>
    <row r="8" spans="1:17" hidden="1" outlineLevel="2">
      <c r="B8" s="49" t="s">
        <v>221</v>
      </c>
      <c r="J8" s="55">
        <f t="shared" ref="J8:Q8" si="2">IF(J12=0,0,IF(J12=1,TS_Start_Date,I9+1))</f>
        <v>40179</v>
      </c>
      <c r="K8" s="55">
        <f t="shared" si="2"/>
        <v>40544</v>
      </c>
      <c r="L8" s="55">
        <f t="shared" si="2"/>
        <v>40909</v>
      </c>
      <c r="M8" s="55">
        <f t="shared" si="2"/>
        <v>0</v>
      </c>
      <c r="N8" s="55">
        <f t="shared" si="2"/>
        <v>0</v>
      </c>
      <c r="O8" s="55">
        <f t="shared" si="2"/>
        <v>0</v>
      </c>
      <c r="P8" s="55">
        <f t="shared" si="2"/>
        <v>0</v>
      </c>
      <c r="Q8" s="55">
        <f t="shared" si="2"/>
        <v>0</v>
      </c>
    </row>
    <row r="9" spans="1:17" hidden="1" outlineLevel="2">
      <c r="B9" s="49" t="s">
        <v>222</v>
      </c>
      <c r="J9" s="55">
        <f t="shared" ref="J9:Q9" si="3">IF(J12=0,0,MIN(TS_Data_End_Date,IF(J8&lt;=TS_Start_Date,TS_Per_1_End_Date,
IF(TS_Mth_End,EOMONTH(EDATE(TS_Per_1_FY_Start_Date,(TS_Per_1_Number+J12-1)*TS_Mths_In_Per-1),0),
EDATE(TS_Per_1_FY_Start_Date,(TS_Per_1_Number+J12-1)*TS_Mths_In_Per)-1))))</f>
        <v>40543</v>
      </c>
      <c r="K9" s="55">
        <f t="shared" si="3"/>
        <v>40908</v>
      </c>
      <c r="L9" s="55">
        <f t="shared" si="3"/>
        <v>41274</v>
      </c>
      <c r="M9" s="55">
        <f t="shared" si="3"/>
        <v>0</v>
      </c>
      <c r="N9" s="55">
        <f t="shared" si="3"/>
        <v>0</v>
      </c>
      <c r="O9" s="55">
        <f t="shared" si="3"/>
        <v>0</v>
      </c>
      <c r="P9" s="55">
        <f t="shared" si="3"/>
        <v>0</v>
      </c>
      <c r="Q9" s="55">
        <f t="shared" si="3"/>
        <v>0</v>
      </c>
    </row>
    <row r="10" spans="1:17" hidden="1" outlineLevel="2">
      <c r="B10" s="49" t="s">
        <v>219</v>
      </c>
      <c r="J10" s="189">
        <f t="shared" ref="J10:Q10" si="4">IF(J12=0,0,YEAR(TS_Per_1_FY_End_Date)+INT((TS_Per_1_Number+J12-2)/TS_Pers_In_Yr))</f>
        <v>2010</v>
      </c>
      <c r="K10" s="189">
        <f t="shared" si="4"/>
        <v>2011</v>
      </c>
      <c r="L10" s="189">
        <f t="shared" si="4"/>
        <v>2012</v>
      </c>
      <c r="M10" s="189">
        <f t="shared" si="4"/>
        <v>0</v>
      </c>
      <c r="N10" s="189">
        <f t="shared" si="4"/>
        <v>0</v>
      </c>
      <c r="O10" s="189">
        <f t="shared" si="4"/>
        <v>0</v>
      </c>
      <c r="P10" s="189">
        <f t="shared" si="4"/>
        <v>0</v>
      </c>
      <c r="Q10" s="189">
        <f t="shared" si="4"/>
        <v>0</v>
      </c>
    </row>
    <row r="11" spans="1:17" hidden="1" outlineLevel="2">
      <c r="B11" s="49" t="s">
        <v>220</v>
      </c>
      <c r="J11" s="56" t="str">
        <f t="shared" ref="J11:Q11" si="5">IF(J12=0,"-",IF(TS_Pers_In_Yr=1,Yr_Name,TS_Per_Type_Prefix&amp;IF(MOD(TS_Per_1_Number+J12-1,TS_Pers_In_Yr)=0,TS_Pers_In_Yr,MOD(TS_Per_1_Number+J12-1,TS_Pers_In_Yr))))&amp;" "</f>
        <v xml:space="preserve">Year </v>
      </c>
      <c r="K11" s="56" t="str">
        <f t="shared" si="5"/>
        <v xml:space="preserve">Year </v>
      </c>
      <c r="L11" s="56" t="str">
        <f t="shared" si="5"/>
        <v xml:space="preserve">Year </v>
      </c>
      <c r="M11" s="56" t="str">
        <f t="shared" si="5"/>
        <v xml:space="preserve">- </v>
      </c>
      <c r="N11" s="56" t="str">
        <f t="shared" si="5"/>
        <v xml:space="preserve">- </v>
      </c>
      <c r="O11" s="56" t="str">
        <f t="shared" si="5"/>
        <v xml:space="preserve">- </v>
      </c>
      <c r="P11" s="56" t="str">
        <f t="shared" si="5"/>
        <v xml:space="preserve">- </v>
      </c>
      <c r="Q11" s="56" t="str">
        <f t="shared" si="5"/>
        <v xml:space="preserve">- </v>
      </c>
    </row>
    <row r="12" spans="1:17" hidden="1" outlineLevel="2">
      <c r="B12" s="49" t="s">
        <v>223</v>
      </c>
      <c r="J12" s="57">
        <f t="shared" ref="J12:Q12" si="6">IF(TS_Data_Total_Pers=0,0,IF(COLUMN(J12)=COLUMN($J12),1,IF(I12=0,0,IF(I9=TS_Data_End_Date,0,I12+1))))</f>
        <v>1</v>
      </c>
      <c r="K12" s="57">
        <f t="shared" si="6"/>
        <v>2</v>
      </c>
      <c r="L12" s="57">
        <f t="shared" si="6"/>
        <v>3</v>
      </c>
      <c r="M12" s="57">
        <f t="shared" si="6"/>
        <v>0</v>
      </c>
      <c r="N12" s="57">
        <f t="shared" si="6"/>
        <v>0</v>
      </c>
      <c r="O12" s="57">
        <f t="shared" si="6"/>
        <v>0</v>
      </c>
      <c r="P12" s="57">
        <f t="shared" si="6"/>
        <v>0</v>
      </c>
      <c r="Q12" s="57">
        <f t="shared" si="6"/>
        <v>0</v>
      </c>
    </row>
    <row r="13" spans="1:17" hidden="1" outlineLevel="2">
      <c r="B13" s="60" t="s">
        <v>387</v>
      </c>
      <c r="C13" s="22"/>
      <c r="D13" s="22"/>
      <c r="E13" s="22"/>
      <c r="F13" s="22"/>
      <c r="G13" s="22"/>
      <c r="H13" s="22"/>
      <c r="I13" s="22"/>
      <c r="J13" s="190" t="str">
        <f>IF(J12=0,"- ",J10&amp;"-"&amp;J11)</f>
        <v xml:space="preserve">2010-Year </v>
      </c>
      <c r="K13" s="190" t="str">
        <f t="shared" ref="K13:Q13" si="7">IF(K12=0,"- ",K10&amp;"-"&amp;K11)</f>
        <v xml:space="preserve">2011-Year </v>
      </c>
      <c r="L13" s="190" t="str">
        <f t="shared" si="7"/>
        <v xml:space="preserve">2012-Year </v>
      </c>
      <c r="M13" s="190" t="str">
        <f t="shared" si="7"/>
        <v xml:space="preserve">- </v>
      </c>
      <c r="N13" s="190" t="str">
        <f t="shared" si="7"/>
        <v xml:space="preserve">- </v>
      </c>
      <c r="O13" s="190" t="str">
        <f t="shared" si="7"/>
        <v xml:space="preserve">- </v>
      </c>
      <c r="P13" s="190" t="str">
        <f t="shared" si="7"/>
        <v xml:space="preserve">- </v>
      </c>
      <c r="Q13" s="190" t="str">
        <f t="shared" si="7"/>
        <v xml:space="preserve">- </v>
      </c>
    </row>
    <row r="14" spans="1:17" collapsed="1"/>
    <row r="16" spans="1:17" ht="12.75">
      <c r="B16" s="113" t="s">
        <v>45</v>
      </c>
    </row>
    <row r="18" spans="3:17" ht="11.25">
      <c r="C18" s="61" t="s">
        <v>15</v>
      </c>
    </row>
    <row r="20" spans="3:17">
      <c r="E20" s="65" t="s">
        <v>224</v>
      </c>
      <c r="J20" s="114">
        <v>125</v>
      </c>
      <c r="K20" s="114">
        <v>128.125</v>
      </c>
      <c r="L20" s="114">
        <v>131.328125</v>
      </c>
      <c r="M20" s="114">
        <v>134.611328125</v>
      </c>
      <c r="N20" s="114">
        <v>137.97661132812499</v>
      </c>
      <c r="O20" s="114">
        <v>141.4260266113281</v>
      </c>
      <c r="P20" s="114">
        <v>144.96167727661128</v>
      </c>
      <c r="Q20" s="114">
        <v>148.58571920852654</v>
      </c>
    </row>
    <row r="21" spans="3:17">
      <c r="E21" s="65" t="s">
        <v>420</v>
      </c>
      <c r="J21" s="197">
        <v>10.726027397260282</v>
      </c>
      <c r="K21" s="197">
        <v>-0.25684931506850717</v>
      </c>
      <c r="L21" s="197">
        <v>-0.23377849202785228</v>
      </c>
      <c r="M21" s="197">
        <v>-0.29934436756118998</v>
      </c>
      <c r="N21" s="197">
        <v>-0.27659861943493524</v>
      </c>
      <c r="O21" s="197">
        <v>-0.28351358492079726</v>
      </c>
      <c r="P21" s="197">
        <v>-0.25804771305121221</v>
      </c>
      <c r="Q21" s="197">
        <v>-0.3304201716500188</v>
      </c>
    </row>
    <row r="22" spans="3:17">
      <c r="D22" s="65" t="s">
        <v>238</v>
      </c>
      <c r="J22" s="201">
        <f>J20+J21</f>
        <v>135.72602739726028</v>
      </c>
      <c r="K22" s="201">
        <f t="shared" ref="K22:Q22" si="8">K20+K21</f>
        <v>127.86815068493149</v>
      </c>
      <c r="L22" s="201">
        <f t="shared" si="8"/>
        <v>131.09434650797215</v>
      </c>
      <c r="M22" s="201">
        <f t="shared" si="8"/>
        <v>134.31198375743881</v>
      </c>
      <c r="N22" s="201">
        <f t="shared" si="8"/>
        <v>137.70001270869005</v>
      </c>
      <c r="O22" s="201">
        <f t="shared" si="8"/>
        <v>141.1425130264073</v>
      </c>
      <c r="P22" s="201">
        <f t="shared" si="8"/>
        <v>144.70362956356007</v>
      </c>
      <c r="Q22" s="201">
        <f t="shared" si="8"/>
        <v>148.25529903687652</v>
      </c>
    </row>
    <row r="23" spans="3:17">
      <c r="D23" s="191"/>
      <c r="E23" s="65" t="s">
        <v>462</v>
      </c>
      <c r="J23" s="114">
        <v>-25</v>
      </c>
      <c r="K23" s="114">
        <v>-25.624999999999996</v>
      </c>
      <c r="L23" s="114">
        <v>-26.265624999999993</v>
      </c>
      <c r="M23" s="114">
        <v>-26.922265624999991</v>
      </c>
      <c r="N23" s="114">
        <v>-27.59532226562499</v>
      </c>
      <c r="O23" s="114">
        <v>-28.285205322265611</v>
      </c>
      <c r="P23" s="114">
        <v>-28.992335455322248</v>
      </c>
      <c r="Q23" s="114">
        <v>-29.717143841705301</v>
      </c>
    </row>
    <row r="24" spans="3:17">
      <c r="D24" s="191"/>
      <c r="E24" s="65" t="s">
        <v>236</v>
      </c>
      <c r="J24" s="114">
        <v>-40</v>
      </c>
      <c r="K24" s="114">
        <v>-41</v>
      </c>
      <c r="L24" s="114">
        <v>-42.024999999999999</v>
      </c>
      <c r="M24" s="114">
        <v>-43.075624999999995</v>
      </c>
      <c r="N24" s="114">
        <v>-44.152515624999992</v>
      </c>
      <c r="O24" s="114">
        <v>-45.256328515624986</v>
      </c>
      <c r="P24" s="114">
        <v>-46.387736728515605</v>
      </c>
      <c r="Q24" s="114">
        <v>-47.547430146728495</v>
      </c>
    </row>
    <row r="25" spans="3:17">
      <c r="D25" s="191"/>
      <c r="E25" s="65" t="s">
        <v>421</v>
      </c>
      <c r="J25" s="197">
        <v>-7.9863013698630141</v>
      </c>
      <c r="K25" s="197">
        <v>0.20034246575342252</v>
      </c>
      <c r="L25" s="197">
        <v>0.18234722378171853</v>
      </c>
      <c r="M25" s="197">
        <v>0.2334886066977333</v>
      </c>
      <c r="N25" s="197">
        <v>0.21574692315924437</v>
      </c>
      <c r="O25" s="197">
        <v>0.22114059623822868</v>
      </c>
      <c r="P25" s="197">
        <v>0.20127721617994609</v>
      </c>
      <c r="Q25" s="197">
        <v>0.25772773388702319</v>
      </c>
    </row>
    <row r="26" spans="3:17">
      <c r="D26" s="65" t="s">
        <v>243</v>
      </c>
      <c r="J26" s="201">
        <f>SUM(J23:J25)</f>
        <v>-72.986301369863014</v>
      </c>
      <c r="K26" s="201">
        <f t="shared" ref="K26:Q26" si="9">SUM(K23:K25)</f>
        <v>-66.424657534246577</v>
      </c>
      <c r="L26" s="201">
        <f t="shared" si="9"/>
        <v>-68.108277776218273</v>
      </c>
      <c r="M26" s="201">
        <f t="shared" si="9"/>
        <v>-69.764402018302249</v>
      </c>
      <c r="N26" s="201">
        <f t="shared" si="9"/>
        <v>-71.532090967465734</v>
      </c>
      <c r="O26" s="201">
        <f t="shared" si="9"/>
        <v>-73.320393241652368</v>
      </c>
      <c r="P26" s="201">
        <f t="shared" si="9"/>
        <v>-75.178794967657907</v>
      </c>
      <c r="Q26" s="201">
        <f t="shared" si="9"/>
        <v>-77.006846254546772</v>
      </c>
    </row>
    <row r="27" spans="3:17">
      <c r="D27" s="65" t="s">
        <v>257</v>
      </c>
      <c r="J27" s="114">
        <v>-3.25</v>
      </c>
      <c r="K27" s="114">
        <v>-3.25</v>
      </c>
      <c r="L27" s="114">
        <v>-3.25</v>
      </c>
      <c r="M27" s="114">
        <v>-3.25</v>
      </c>
      <c r="N27" s="114">
        <v>-3.4125000000000001</v>
      </c>
      <c r="O27" s="114">
        <v>-3.5750000000000002</v>
      </c>
      <c r="P27" s="114">
        <v>-3.5750000000000002</v>
      </c>
      <c r="Q27" s="114">
        <v>-3.5750000000000002</v>
      </c>
    </row>
    <row r="28" spans="3:17">
      <c r="D28" s="65" t="s">
        <v>476</v>
      </c>
      <c r="J28" s="114">
        <v>-3.5</v>
      </c>
      <c r="K28" s="114">
        <v>-12.7875</v>
      </c>
      <c r="L28" s="114">
        <v>-13.131562499999999</v>
      </c>
      <c r="M28" s="114">
        <v>-13.4842265625</v>
      </c>
      <c r="N28" s="114">
        <v>-13.845707226562503</v>
      </c>
      <c r="O28" s="114">
        <v>-14.167474907226566</v>
      </c>
      <c r="P28" s="114">
        <v>-14.498505529907227</v>
      </c>
      <c r="Q28" s="114">
        <v>-14.887780668154907</v>
      </c>
    </row>
    <row r="29" spans="3:17">
      <c r="D29" s="65" t="s">
        <v>492</v>
      </c>
      <c r="J29" s="114">
        <v>-1</v>
      </c>
      <c r="K29" s="114">
        <v>-1</v>
      </c>
      <c r="L29" s="114">
        <v>-1</v>
      </c>
      <c r="M29" s="114">
        <v>-1</v>
      </c>
      <c r="N29" s="114">
        <v>-1</v>
      </c>
      <c r="O29" s="114">
        <v>-1</v>
      </c>
      <c r="P29" s="114">
        <v>-1</v>
      </c>
      <c r="Q29" s="114">
        <v>-1</v>
      </c>
    </row>
    <row r="30" spans="3:17">
      <c r="D30" s="65" t="s">
        <v>493</v>
      </c>
      <c r="J30" s="114">
        <v>1</v>
      </c>
      <c r="K30" s="114">
        <v>1</v>
      </c>
      <c r="L30" s="114">
        <v>1</v>
      </c>
      <c r="M30" s="114">
        <v>1</v>
      </c>
      <c r="N30" s="114">
        <v>1</v>
      </c>
      <c r="O30" s="114">
        <v>1</v>
      </c>
      <c r="P30" s="114">
        <v>1</v>
      </c>
      <c r="Q30" s="114">
        <v>1</v>
      </c>
    </row>
    <row r="31" spans="3:17">
      <c r="D31" s="134" t="str">
        <f>"Net "&amp;C18</f>
        <v>Net Cash Flow from Operating Activities</v>
      </c>
      <c r="J31" s="192">
        <f>J22+J26+SUM(J27:J30)</f>
        <v>55.989726027397268</v>
      </c>
      <c r="K31" s="192">
        <f t="shared" ref="K31:Q31" si="10">K22+K26+SUM(K27:K30)</f>
        <v>45.405993150684914</v>
      </c>
      <c r="L31" s="192">
        <f t="shared" si="10"/>
        <v>46.604506231753874</v>
      </c>
      <c r="M31" s="192">
        <f t="shared" si="10"/>
        <v>47.813355176636563</v>
      </c>
      <c r="N31" s="192">
        <f t="shared" si="10"/>
        <v>48.909714514661815</v>
      </c>
      <c r="O31" s="192">
        <f t="shared" si="10"/>
        <v>50.079644877528366</v>
      </c>
      <c r="P31" s="192">
        <f t="shared" si="10"/>
        <v>51.45132906599494</v>
      </c>
      <c r="Q31" s="192">
        <f t="shared" si="10"/>
        <v>52.785672114174844</v>
      </c>
    </row>
    <row r="32" spans="3:17">
      <c r="J32" s="82"/>
      <c r="K32" s="82"/>
      <c r="L32" s="82"/>
      <c r="M32" s="82"/>
      <c r="N32" s="82"/>
      <c r="O32" s="82"/>
      <c r="P32" s="82"/>
      <c r="Q32" s="82"/>
    </row>
    <row r="33" spans="3:17" ht="11.25">
      <c r="C33" s="61" t="s">
        <v>16</v>
      </c>
      <c r="J33" s="82"/>
      <c r="K33" s="82"/>
      <c r="L33" s="82"/>
      <c r="M33" s="82"/>
      <c r="N33" s="82"/>
      <c r="O33" s="82"/>
      <c r="P33" s="82"/>
      <c r="Q33" s="82"/>
    </row>
    <row r="34" spans="3:17">
      <c r="J34" s="82"/>
      <c r="K34" s="82"/>
      <c r="L34" s="82"/>
      <c r="M34" s="82"/>
      <c r="N34" s="82"/>
      <c r="O34" s="82"/>
      <c r="P34" s="82"/>
      <c r="Q34" s="82"/>
    </row>
    <row r="35" spans="3:17">
      <c r="D35" s="65" t="s">
        <v>466</v>
      </c>
      <c r="J35" s="114">
        <v>-15</v>
      </c>
      <c r="K35" s="114">
        <v>-15.374999999999998</v>
      </c>
      <c r="L35" s="114">
        <v>-15.759374999999997</v>
      </c>
      <c r="M35" s="114">
        <v>-16.153359374999994</v>
      </c>
      <c r="N35" s="114">
        <v>-16.557193359374992</v>
      </c>
      <c r="O35" s="114">
        <v>-16.971123193359364</v>
      </c>
      <c r="P35" s="114">
        <v>-17.395401273193347</v>
      </c>
      <c r="Q35" s="114">
        <v>-17.830286305023179</v>
      </c>
    </row>
    <row r="36" spans="3:17">
      <c r="D36" s="65" t="s">
        <v>467</v>
      </c>
      <c r="J36" s="114">
        <v>-2.5</v>
      </c>
      <c r="K36" s="114">
        <v>-2.5625</v>
      </c>
      <c r="L36" s="114">
        <v>-2.6265624999999999</v>
      </c>
      <c r="M36" s="114">
        <v>-2.6922265624999997</v>
      </c>
      <c r="N36" s="114">
        <v>-2.7595322265624995</v>
      </c>
      <c r="O36" s="114">
        <v>-2.8285205322265616</v>
      </c>
      <c r="P36" s="114">
        <v>-2.8992335455322253</v>
      </c>
      <c r="Q36" s="114">
        <v>-2.9717143841705309</v>
      </c>
    </row>
    <row r="37" spans="3:17">
      <c r="D37" s="65" t="s">
        <v>494</v>
      </c>
      <c r="J37" s="114">
        <v>-1</v>
      </c>
      <c r="K37" s="114">
        <v>-1</v>
      </c>
      <c r="L37" s="114">
        <v>-1</v>
      </c>
      <c r="M37" s="114">
        <v>-1</v>
      </c>
      <c r="N37" s="114">
        <v>-1</v>
      </c>
      <c r="O37" s="114">
        <v>-1</v>
      </c>
      <c r="P37" s="114">
        <v>-1</v>
      </c>
      <c r="Q37" s="114">
        <v>-1</v>
      </c>
    </row>
    <row r="38" spans="3:17">
      <c r="D38" s="65" t="s">
        <v>495</v>
      </c>
      <c r="J38" s="114">
        <v>1</v>
      </c>
      <c r="K38" s="114">
        <v>1</v>
      </c>
      <c r="L38" s="114">
        <v>1</v>
      </c>
      <c r="M38" s="114">
        <v>1</v>
      </c>
      <c r="N38" s="114">
        <v>1</v>
      </c>
      <c r="O38" s="114">
        <v>1</v>
      </c>
      <c r="P38" s="114">
        <v>1</v>
      </c>
      <c r="Q38" s="114">
        <v>1</v>
      </c>
    </row>
    <row r="39" spans="3:17">
      <c r="D39" s="134" t="str">
        <f>"Net "&amp;C33</f>
        <v>Net Cash Flow from Investing Activities</v>
      </c>
      <c r="J39" s="192">
        <f>SUM(J35:J38)</f>
        <v>-17.5</v>
      </c>
      <c r="K39" s="192">
        <f t="shared" ref="K39:Q39" si="11">SUM(K35:K38)</f>
        <v>-17.9375</v>
      </c>
      <c r="L39" s="192">
        <f t="shared" si="11"/>
        <v>-18.385937499999997</v>
      </c>
      <c r="M39" s="192">
        <f t="shared" si="11"/>
        <v>-18.845585937499994</v>
      </c>
      <c r="N39" s="192">
        <f t="shared" si="11"/>
        <v>-19.31672558593749</v>
      </c>
      <c r="O39" s="192">
        <f t="shared" si="11"/>
        <v>-19.799643725585927</v>
      </c>
      <c r="P39" s="192">
        <f t="shared" si="11"/>
        <v>-20.294634818725573</v>
      </c>
      <c r="Q39" s="192">
        <f t="shared" si="11"/>
        <v>-20.802000689193711</v>
      </c>
    </row>
    <row r="40" spans="3:17">
      <c r="J40" s="82"/>
      <c r="K40" s="82"/>
      <c r="L40" s="82"/>
      <c r="M40" s="82"/>
      <c r="N40" s="82"/>
      <c r="O40" s="82"/>
      <c r="P40" s="82"/>
      <c r="Q40" s="82"/>
    </row>
    <row r="41" spans="3:17" ht="11.25">
      <c r="C41" s="61" t="s">
        <v>17</v>
      </c>
      <c r="J41" s="82"/>
      <c r="K41" s="82"/>
      <c r="L41" s="82"/>
      <c r="M41" s="82"/>
      <c r="N41" s="82"/>
      <c r="O41" s="82"/>
      <c r="P41" s="82"/>
      <c r="Q41" s="82"/>
    </row>
    <row r="42" spans="3:17">
      <c r="J42" s="82"/>
      <c r="K42" s="82"/>
      <c r="L42" s="82"/>
      <c r="M42" s="82"/>
      <c r="N42" s="82"/>
      <c r="O42" s="82"/>
      <c r="P42" s="82"/>
      <c r="Q42" s="82"/>
    </row>
    <row r="43" spans="3:17">
      <c r="D43" s="65" t="s">
        <v>246</v>
      </c>
      <c r="J43" s="114">
        <v>0</v>
      </c>
      <c r="K43" s="114">
        <v>0</v>
      </c>
      <c r="L43" s="114">
        <v>0</v>
      </c>
      <c r="M43" s="114">
        <v>0</v>
      </c>
      <c r="N43" s="114">
        <v>50</v>
      </c>
      <c r="O43" s="114">
        <v>0</v>
      </c>
      <c r="P43" s="114">
        <v>0</v>
      </c>
      <c r="Q43" s="114">
        <v>0</v>
      </c>
    </row>
    <row r="44" spans="3:17">
      <c r="D44" s="65" t="s">
        <v>247</v>
      </c>
      <c r="J44" s="114">
        <v>0</v>
      </c>
      <c r="K44" s="114">
        <v>0</v>
      </c>
      <c r="L44" s="114">
        <v>0</v>
      </c>
      <c r="M44" s="114">
        <v>0</v>
      </c>
      <c r="N44" s="114">
        <v>-45</v>
      </c>
      <c r="O44" s="114">
        <v>0</v>
      </c>
      <c r="P44" s="114">
        <v>0</v>
      </c>
      <c r="Q44" s="114">
        <v>0</v>
      </c>
    </row>
    <row r="45" spans="3:17">
      <c r="D45" s="65" t="s">
        <v>264</v>
      </c>
      <c r="J45" s="114">
        <v>0</v>
      </c>
      <c r="K45" s="114">
        <v>0</v>
      </c>
      <c r="L45" s="114">
        <v>0</v>
      </c>
      <c r="M45" s="114">
        <v>0</v>
      </c>
      <c r="N45" s="114">
        <v>0</v>
      </c>
      <c r="O45" s="114">
        <v>0</v>
      </c>
      <c r="P45" s="114">
        <v>0</v>
      </c>
      <c r="Q45" s="114">
        <v>0</v>
      </c>
    </row>
    <row r="46" spans="3:17">
      <c r="D46" s="65" t="s">
        <v>265</v>
      </c>
      <c r="J46" s="114">
        <v>0</v>
      </c>
      <c r="K46" s="114">
        <v>0</v>
      </c>
      <c r="L46" s="114">
        <v>0</v>
      </c>
      <c r="M46" s="114">
        <v>0</v>
      </c>
      <c r="N46" s="114">
        <v>0</v>
      </c>
      <c r="O46" s="114">
        <v>0</v>
      </c>
      <c r="P46" s="114">
        <v>0</v>
      </c>
      <c r="Q46" s="114">
        <v>0</v>
      </c>
    </row>
    <row r="47" spans="3:17">
      <c r="D47" s="65" t="s">
        <v>273</v>
      </c>
      <c r="J47" s="114">
        <v>-14.918749999999999</v>
      </c>
      <c r="K47" s="114">
        <v>-15.32015625</v>
      </c>
      <c r="L47" s="114">
        <v>-15.731597656250003</v>
      </c>
      <c r="M47" s="114">
        <v>-16.153325097656253</v>
      </c>
      <c r="N47" s="114">
        <v>-16.528720725097664</v>
      </c>
      <c r="O47" s="114">
        <v>-16.914923118225101</v>
      </c>
      <c r="P47" s="114">
        <v>-17.369077446180725</v>
      </c>
      <c r="Q47" s="114">
        <v>-17.834585632335237</v>
      </c>
    </row>
    <row r="48" spans="3:17" s="204" customFormat="1">
      <c r="D48" s="65" t="s">
        <v>558</v>
      </c>
      <c r="J48" s="114">
        <v>0.1</v>
      </c>
      <c r="K48" s="114">
        <v>0.1</v>
      </c>
      <c r="L48" s="114">
        <v>0.1</v>
      </c>
      <c r="M48" s="114">
        <v>0.1</v>
      </c>
      <c r="N48" s="114">
        <v>0.1</v>
      </c>
      <c r="O48" s="114">
        <v>0.1</v>
      </c>
      <c r="P48" s="114">
        <v>0.1</v>
      </c>
      <c r="Q48" s="114">
        <v>0.1</v>
      </c>
    </row>
    <row r="49" spans="3:17">
      <c r="D49" s="134" t="str">
        <f>"Net "&amp;C41</f>
        <v>Net Cash Flow from Financing Activities</v>
      </c>
      <c r="J49" s="192">
        <f>SUM(J43:J48)</f>
        <v>-14.81875</v>
      </c>
      <c r="K49" s="192">
        <f t="shared" ref="K49:Q49" si="12">SUM(K43:K48)</f>
        <v>-15.22015625</v>
      </c>
      <c r="L49" s="192">
        <f t="shared" si="12"/>
        <v>-15.631597656250003</v>
      </c>
      <c r="M49" s="192">
        <f t="shared" si="12"/>
        <v>-16.053325097656252</v>
      </c>
      <c r="N49" s="192">
        <f t="shared" si="12"/>
        <v>-11.428720725097664</v>
      </c>
      <c r="O49" s="192">
        <f t="shared" si="12"/>
        <v>-16.814923118225099</v>
      </c>
      <c r="P49" s="192">
        <f t="shared" si="12"/>
        <v>-17.269077446180724</v>
      </c>
      <c r="Q49" s="192">
        <f t="shared" si="12"/>
        <v>-17.734585632335236</v>
      </c>
    </row>
    <row r="50" spans="3:17">
      <c r="J50" s="82"/>
      <c r="K50" s="82"/>
      <c r="L50" s="82"/>
      <c r="M50" s="82"/>
      <c r="N50" s="82"/>
      <c r="O50" s="82"/>
      <c r="P50" s="82"/>
      <c r="Q50" s="82"/>
    </row>
    <row r="51" spans="3:17" ht="12" thickBot="1">
      <c r="C51" s="61" t="s">
        <v>18</v>
      </c>
      <c r="J51" s="194">
        <f t="shared" ref="J51:Q51" si="13">J31+J39+J49</f>
        <v>23.670976027397266</v>
      </c>
      <c r="K51" s="194">
        <f t="shared" si="13"/>
        <v>12.248336900684913</v>
      </c>
      <c r="L51" s="194">
        <f t="shared" si="13"/>
        <v>12.586971075503874</v>
      </c>
      <c r="M51" s="194">
        <f t="shared" si="13"/>
        <v>12.914444141480317</v>
      </c>
      <c r="N51" s="194">
        <f t="shared" si="13"/>
        <v>18.164268203626662</v>
      </c>
      <c r="O51" s="194">
        <f t="shared" si="13"/>
        <v>13.46507803371734</v>
      </c>
      <c r="P51" s="194">
        <f t="shared" si="13"/>
        <v>13.887616801088644</v>
      </c>
      <c r="Q51" s="194">
        <f t="shared" si="13"/>
        <v>14.249085792645896</v>
      </c>
    </row>
    <row r="52" spans="3:17" ht="11.25" thickTop="1"/>
    <row r="53" spans="3:17">
      <c r="C53" s="62" t="s">
        <v>203</v>
      </c>
      <c r="D53" s="187"/>
    </row>
    <row r="54" spans="3:17">
      <c r="C54" s="81">
        <v>1</v>
      </c>
      <c r="D54" s="130" t="str">
        <f>"All assumptions are entered in "&amp;INDEX(LU_Denom,DD_TS_Denom)&amp;"."</f>
        <v>All assumptions are entered in $Millions.</v>
      </c>
    </row>
  </sheetData>
  <mergeCells count="1">
    <mergeCell ref="B3:F3"/>
  </mergeCells>
  <conditionalFormatting sqref="J20:Q51">
    <cfRule type="expression" dxfId="80" priority="2" stopIfTrue="1">
      <formula>J$12=0</formula>
    </cfRule>
  </conditionalFormatting>
  <dataValidations count="1">
    <dataValidation type="custom" showErrorMessage="1" errorTitle="Invalid Assumption" error="Assumption must be a number." sqref="J20:Q21 J23:Q25 J35:Q38 J27:Q30 J43:Q48">
      <formula1>NOT(ISERROR(J20/1))</formula1>
    </dataValidation>
  </dataValidations>
  <hyperlinks>
    <hyperlink ref="B3" location="HL_Home" tooltip="Go to Table of Contents" display="HL_Home"/>
    <hyperlink ref="A4" location="$B$14" tooltip="Go to Top of Sheet" display="$B$14"/>
    <hyperlink ref="B4" location="HL_Sheet_Main_22" tooltip="Go to Previous Sheet" display="HL_Sheet_Main_22"/>
    <hyperlink ref="C4" location="HL_Sheet_Main_5" tooltip="Go to Next Sheet" display="HL_Sheet_Main_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15.xml><?xml version="1.0" encoding="utf-8"?>
<worksheet xmlns="http://schemas.openxmlformats.org/spreadsheetml/2006/main" xmlns:r="http://schemas.openxmlformats.org/officeDocument/2006/relationships">
  <sheetPr codeName="Sheet1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500</v>
      </c>
    </row>
    <row r="10" spans="3:7" ht="16.5">
      <c r="C10" s="27" t="s">
        <v>522</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177" t="s">
        <v>501</v>
      </c>
    </row>
    <row r="19" spans="3:3">
      <c r="C19" s="177"/>
    </row>
    <row r="20" spans="3:3">
      <c r="C20" s="177"/>
    </row>
  </sheetData>
  <mergeCells count="1">
    <mergeCell ref="C12:G12"/>
  </mergeCells>
  <hyperlinks>
    <hyperlink ref="C12" location="HL_Home" tooltip="Go to Table of Contents" display="HL_Home"/>
    <hyperlink ref="C13" location="HL_Sheet_Main_23" tooltip="Go to Previous Sheet" display="HL_Sheet_Main_23"/>
    <hyperlink ref="D13" location="HL_Sheet_Main_26" tooltip="Go to Next Sheet" display="HL_Sheet_Main_26"/>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6.xml><?xml version="1.0" encoding="utf-8"?>
<worksheet xmlns="http://schemas.openxmlformats.org/spreadsheetml/2006/main" xmlns:r="http://schemas.openxmlformats.org/officeDocument/2006/relationships">
  <sheetPr codeName="Sheet17">
    <pageSetUpPr autoPageBreaks="0"/>
  </sheetPr>
  <dimension ref="A1:Q18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style="181" customWidth="1"/>
    <col min="6" max="9" width="12.83203125" style="181"/>
    <col min="10" max="12" width="12.83203125" style="181" customWidth="1"/>
    <col min="13" max="16384" width="12.83203125" style="181"/>
  </cols>
  <sheetData>
    <row r="1" spans="1:17" ht="18">
      <c r="B1" s="42" t="s">
        <v>500</v>
      </c>
    </row>
    <row r="2" spans="1:17" ht="15">
      <c r="B2" s="41" t="str">
        <f ca="1">Model_Name</f>
        <v>SMA 5. Assumption Entry Interfaces - Best Practice Model Example</v>
      </c>
    </row>
    <row r="3" spans="1:17">
      <c r="B3" s="318" t="s">
        <v>48</v>
      </c>
      <c r="C3" s="318"/>
      <c r="D3" s="318"/>
      <c r="E3" s="318"/>
      <c r="F3" s="318"/>
    </row>
    <row r="4" spans="1:17" ht="12.75">
      <c r="A4" s="43" t="s">
        <v>51</v>
      </c>
      <c r="B4" s="44" t="s">
        <v>53</v>
      </c>
      <c r="C4" s="45" t="s">
        <v>102</v>
      </c>
      <c r="D4" s="79" t="s">
        <v>205</v>
      </c>
      <c r="E4" s="79" t="s">
        <v>206</v>
      </c>
      <c r="F4" s="46" t="s">
        <v>207</v>
      </c>
    </row>
    <row r="6" spans="1:17" s="204" customFormat="1">
      <c r="B6" s="54" t="str">
        <f>IF(TS_Data_Final_Stub,"Period End Date",IF(TS_Pers_In_Yr=1,"",TS_Per_Type_Name&amp;" Ending"))</f>
        <v/>
      </c>
      <c r="J6" s="188" t="str">
        <f t="shared" ref="J6:Q6" si="0">IF(J12=0,IF(TS_Data_Final_Stub,"- ",IF(TS_Pers_In_Yr=1,"",0)),IF(TS_Data_Final_Stub,J9,IF(TS_Pers_In_Yr=1,"",LEFT(INDEX(LU_Mth_Names,MONTH(J9)),3)&amp;"-"&amp;RIGHT(YEAR(J9),2))&amp;" "))</f>
        <v/>
      </c>
      <c r="K6" s="188" t="str">
        <f t="shared" si="0"/>
        <v/>
      </c>
      <c r="L6" s="188" t="str">
        <f t="shared" si="0"/>
        <v/>
      </c>
      <c r="M6" s="188" t="str">
        <f t="shared" si="0"/>
        <v xml:space="preserve"> </v>
      </c>
      <c r="N6" s="188" t="str">
        <f t="shared" si="0"/>
        <v xml:space="preserve"> </v>
      </c>
      <c r="O6" s="188" t="str">
        <f t="shared" si="0"/>
        <v xml:space="preserve"> </v>
      </c>
      <c r="P6" s="188" t="str">
        <f t="shared" si="0"/>
        <v xml:space="preserve"> </v>
      </c>
      <c r="Q6" s="188" t="str">
        <f t="shared" si="0"/>
        <v xml:space="preserve"> </v>
      </c>
    </row>
    <row r="7" spans="1:17" s="204" customFormat="1">
      <c r="B7" s="58" t="str">
        <f>IF(TS_Data_Final_Stub,"Period Title",IF(TS_Pers_In_Yr=1,Yr_Name&amp;" Ending "&amp;DAY(TS_Per_1_End_Date)&amp;" "&amp;INDEX(LU_Mth_Names,DD_TS_Fin_YE_Mth),TS_Per_Type_Name))</f>
        <v>Year Ending 31 December</v>
      </c>
      <c r="C7" s="22"/>
      <c r="D7" s="22"/>
      <c r="E7" s="22"/>
      <c r="F7" s="22"/>
      <c r="G7" s="22"/>
      <c r="H7" s="22"/>
      <c r="I7" s="22"/>
      <c r="J7" s="59" t="str">
        <f t="shared" ref="J7:Q7" si="1">IF(J12=0," - ",
IF(TS_Pers_In_Yr=1,J10&amp;" ",J11)&amp;IF(CB_TS_Show_Hist_Fcast_Pers,IF(J12&lt;=TS_Actual_Pers,TS_Actual_Per_Title,
IF(J12&lt;=TS_Actual_Pers+TS_Budget_Pers,TS_Budget_Per_Title,TS_Fcast_Per_Title))&amp;" ",""))</f>
        <v xml:space="preserve"> - </v>
      </c>
      <c r="K7" s="59" t="str">
        <f t="shared" si="1"/>
        <v xml:space="preserve"> - </v>
      </c>
      <c r="L7" s="59" t="str">
        <f t="shared" si="1"/>
        <v xml:space="preserve"> - </v>
      </c>
      <c r="M7" s="59" t="str">
        <f t="shared" si="1"/>
        <v xml:space="preserve">2013 (F) </v>
      </c>
      <c r="N7" s="59" t="str">
        <f t="shared" si="1"/>
        <v xml:space="preserve">2014 (F) </v>
      </c>
      <c r="O7" s="59" t="str">
        <f t="shared" si="1"/>
        <v xml:space="preserve">2015 (F) </v>
      </c>
      <c r="P7" s="59" t="str">
        <f t="shared" si="1"/>
        <v xml:space="preserve">2016 (F) </v>
      </c>
      <c r="Q7" s="59" t="str">
        <f t="shared" si="1"/>
        <v xml:space="preserve">2017 (F) </v>
      </c>
    </row>
    <row r="8" spans="1:17" s="204" customFormat="1" hidden="1" outlineLevel="2">
      <c r="B8" s="49" t="s">
        <v>221</v>
      </c>
      <c r="J8" s="55">
        <f t="shared" ref="J8:Q8" si="2">IF(J12=0,0,IF(J12=TS_Data_Full_Pers+1,TS_Proj_Start_Date,I9+1))</f>
        <v>0</v>
      </c>
      <c r="K8" s="55">
        <f t="shared" si="2"/>
        <v>0</v>
      </c>
      <c r="L8" s="55">
        <f t="shared" si="2"/>
        <v>0</v>
      </c>
      <c r="M8" s="55">
        <f t="shared" si="2"/>
        <v>41275</v>
      </c>
      <c r="N8" s="55">
        <f t="shared" si="2"/>
        <v>41640</v>
      </c>
      <c r="O8" s="55">
        <f t="shared" si="2"/>
        <v>42005</v>
      </c>
      <c r="P8" s="55">
        <f t="shared" si="2"/>
        <v>42370</v>
      </c>
      <c r="Q8" s="55">
        <f t="shared" si="2"/>
        <v>42736</v>
      </c>
    </row>
    <row r="9" spans="1:17" s="204" customFormat="1" hidden="1" outlineLevel="2">
      <c r="B9" s="49" t="s">
        <v>222</v>
      </c>
      <c r="J9" s="5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55">
        <f t="shared" si="3"/>
        <v>0</v>
      </c>
      <c r="L9" s="55">
        <f t="shared" si="3"/>
        <v>0</v>
      </c>
      <c r="M9" s="55">
        <f t="shared" si="3"/>
        <v>41639</v>
      </c>
      <c r="N9" s="55">
        <f t="shared" si="3"/>
        <v>42004</v>
      </c>
      <c r="O9" s="55">
        <f t="shared" si="3"/>
        <v>42369</v>
      </c>
      <c r="P9" s="55">
        <f t="shared" si="3"/>
        <v>42735</v>
      </c>
      <c r="Q9" s="55">
        <f t="shared" si="3"/>
        <v>43100</v>
      </c>
    </row>
    <row r="10" spans="1:17" s="204" customFormat="1" hidden="1" outlineLevel="2">
      <c r="B10" s="49" t="s">
        <v>219</v>
      </c>
      <c r="J10" s="189">
        <f t="shared" ref="J10:Q10" si="4">IF(J12=0,0,YEAR(TS_Proj_Per_1_FY_End_Date)+INT((TS_Proj_Per_1_Number+J12-TS_Data_Full_Pers-2)/TS_Pers_In_Yr))</f>
        <v>0</v>
      </c>
      <c r="K10" s="189">
        <f t="shared" si="4"/>
        <v>0</v>
      </c>
      <c r="L10" s="189">
        <f t="shared" si="4"/>
        <v>0</v>
      </c>
      <c r="M10" s="189">
        <f t="shared" si="4"/>
        <v>2013</v>
      </c>
      <c r="N10" s="189">
        <f t="shared" si="4"/>
        <v>2014</v>
      </c>
      <c r="O10" s="189">
        <f t="shared" si="4"/>
        <v>2015</v>
      </c>
      <c r="P10" s="189">
        <f t="shared" si="4"/>
        <v>2016</v>
      </c>
      <c r="Q10" s="189">
        <f t="shared" si="4"/>
        <v>2017</v>
      </c>
    </row>
    <row r="11" spans="1:17" s="204" customFormat="1" hidden="1" outlineLevel="2">
      <c r="B11" s="49" t="s">
        <v>220</v>
      </c>
      <c r="J11" s="56" t="str">
        <f t="shared" ref="J11:Q11" si="5">IF(J12=0,"-",IF(TS_Pers_In_Yr=1,Yr_Name,TS_Per_Type_Prefix&amp;IF(MOD(TS_Per_1_Number+J12-1,TS_Pers_In_Yr)=0,TS_Pers_In_Yr,MOD(TS_Per_1_Number+J12-1,TS_Pers_In_Yr))))&amp;" "</f>
        <v xml:space="preserve">- </v>
      </c>
      <c r="K11" s="56" t="str">
        <f t="shared" si="5"/>
        <v xml:space="preserve">- </v>
      </c>
      <c r="L11" s="56" t="str">
        <f t="shared" si="5"/>
        <v xml:space="preserve">- </v>
      </c>
      <c r="M11" s="56" t="str">
        <f t="shared" si="5"/>
        <v xml:space="preserve">Year </v>
      </c>
      <c r="N11" s="56" t="str">
        <f t="shared" si="5"/>
        <v xml:space="preserve">Year </v>
      </c>
      <c r="O11" s="56" t="str">
        <f t="shared" si="5"/>
        <v xml:space="preserve">Year </v>
      </c>
      <c r="P11" s="56" t="str">
        <f t="shared" si="5"/>
        <v xml:space="preserve">Year </v>
      </c>
      <c r="Q11" s="56" t="str">
        <f t="shared" si="5"/>
        <v xml:space="preserve">Year </v>
      </c>
    </row>
    <row r="12" spans="1:17" s="204" customFormat="1" hidden="1" outlineLevel="2">
      <c r="B12" s="49" t="s">
        <v>223</v>
      </c>
      <c r="J12" s="57">
        <f t="shared" ref="J12:Q12" si="6">IF(COLUMN(J12)-COLUMN($J12)+1&lt;TS_Data_Full_Pers+1,0,COLUMN(J12)-COLUMN($J12)+1)</f>
        <v>0</v>
      </c>
      <c r="K12" s="57">
        <f t="shared" si="6"/>
        <v>0</v>
      </c>
      <c r="L12" s="57">
        <f t="shared" si="6"/>
        <v>0</v>
      </c>
      <c r="M12" s="57">
        <f t="shared" si="6"/>
        <v>4</v>
      </c>
      <c r="N12" s="57">
        <f t="shared" si="6"/>
        <v>5</v>
      </c>
      <c r="O12" s="57">
        <f t="shared" si="6"/>
        <v>6</v>
      </c>
      <c r="P12" s="57">
        <f t="shared" si="6"/>
        <v>7</v>
      </c>
      <c r="Q12" s="57">
        <f t="shared" si="6"/>
        <v>8</v>
      </c>
    </row>
    <row r="13" spans="1:17" s="204" customFormat="1" hidden="1" outlineLevel="2">
      <c r="B13" s="60" t="s">
        <v>387</v>
      </c>
      <c r="C13" s="22"/>
      <c r="D13" s="22"/>
      <c r="E13" s="22"/>
      <c r="F13" s="22"/>
      <c r="G13" s="22"/>
      <c r="H13" s="22"/>
      <c r="I13" s="22"/>
      <c r="J13" s="190" t="str">
        <f>IF(J12=0,"- ",J10&amp;"-"&amp;J11)</f>
        <v xml:space="preserve">- </v>
      </c>
      <c r="K13" s="190" t="str">
        <f t="shared" ref="K13:Q13" si="7">IF(K12=0,"- ",K10&amp;"-"&amp;K11)</f>
        <v xml:space="preserve">- </v>
      </c>
      <c r="L13" s="190" t="str">
        <f t="shared" si="7"/>
        <v xml:space="preserve">- </v>
      </c>
      <c r="M13" s="190" t="str">
        <f t="shared" si="7"/>
        <v xml:space="preserve">2013-Year </v>
      </c>
      <c r="N13" s="190" t="str">
        <f t="shared" si="7"/>
        <v xml:space="preserve">2014-Year </v>
      </c>
      <c r="O13" s="190" t="str">
        <f t="shared" si="7"/>
        <v xml:space="preserve">2015-Year </v>
      </c>
      <c r="P13" s="190" t="str">
        <f t="shared" si="7"/>
        <v xml:space="preserve">2016-Year </v>
      </c>
      <c r="Q13" s="190" t="str">
        <f t="shared" si="7"/>
        <v xml:space="preserve">2017-Year </v>
      </c>
    </row>
    <row r="14" spans="1:17" s="204" customFormat="1" collapsed="1"/>
    <row r="15" spans="1:17" s="20" customFormat="1"/>
    <row r="16" spans="1:17" s="18" customFormat="1" ht="12.75" customHeight="1">
      <c r="B16" s="113" t="s">
        <v>401</v>
      </c>
      <c r="J16" s="169"/>
    </row>
    <row r="17" spans="2:17" s="18" customFormat="1">
      <c r="I17" s="187"/>
      <c r="J17" s="187"/>
      <c r="K17" s="187"/>
      <c r="L17" s="187"/>
    </row>
    <row r="18" spans="2:17" s="169" customFormat="1">
      <c r="C18" s="191" t="str">
        <f>IS_Hist_TA!D18</f>
        <v>Revenue</v>
      </c>
      <c r="J18" s="114">
        <v>125</v>
      </c>
      <c r="K18" s="114">
        <v>128.125</v>
      </c>
      <c r="L18" s="114">
        <v>131.328125</v>
      </c>
      <c r="M18" s="114">
        <v>134.611328125</v>
      </c>
      <c r="N18" s="114">
        <v>137.97661132812499</v>
      </c>
      <c r="O18" s="114">
        <v>141.4260266113281</v>
      </c>
      <c r="P18" s="114">
        <v>144.96167727661128</v>
      </c>
      <c r="Q18" s="114">
        <v>148.58571920852654</v>
      </c>
    </row>
    <row r="19" spans="2:17" s="169" customFormat="1">
      <c r="C19" s="191" t="str">
        <f>IS_Hist_TA!D19</f>
        <v>Cost of Goods Sold</v>
      </c>
      <c r="J19" s="114">
        <v>25</v>
      </c>
      <c r="K19" s="114">
        <v>25.624999999999996</v>
      </c>
      <c r="L19" s="114">
        <v>26.265624999999993</v>
      </c>
      <c r="M19" s="114">
        <v>26.922265624999991</v>
      </c>
      <c r="N19" s="114">
        <v>27.59532226562499</v>
      </c>
      <c r="O19" s="114">
        <v>28.285205322265611</v>
      </c>
      <c r="P19" s="114">
        <v>28.992335455322248</v>
      </c>
      <c r="Q19" s="114">
        <v>29.717143841705301</v>
      </c>
    </row>
    <row r="20" spans="2:17" s="169" customFormat="1">
      <c r="C20" s="191" t="str">
        <f>IS_Hist_TA!D23</f>
        <v>Operating Expenditure</v>
      </c>
      <c r="J20" s="114">
        <v>40</v>
      </c>
      <c r="K20" s="114">
        <v>41</v>
      </c>
      <c r="L20" s="114">
        <v>42.024999999999999</v>
      </c>
      <c r="M20" s="114">
        <v>43.075624999999995</v>
      </c>
      <c r="N20" s="114">
        <v>44.152515624999992</v>
      </c>
      <c r="O20" s="114">
        <v>45.256328515624986</v>
      </c>
      <c r="P20" s="114">
        <v>46.387736728515605</v>
      </c>
      <c r="Q20" s="114">
        <v>47.547430146728495</v>
      </c>
    </row>
    <row r="21" spans="2:17" s="169" customFormat="1">
      <c r="C21" s="191" t="str">
        <f>CFS_Hist_TA!D35</f>
        <v>Capital Expenditure - Assets</v>
      </c>
      <c r="J21" s="114">
        <v>15</v>
      </c>
      <c r="K21" s="114">
        <v>15.374999999999998</v>
      </c>
      <c r="L21" s="114">
        <v>15.759374999999997</v>
      </c>
      <c r="M21" s="114">
        <v>16.153359374999994</v>
      </c>
      <c r="N21" s="114">
        <v>16.557193359374992</v>
      </c>
      <c r="O21" s="114">
        <v>16.971123193359364</v>
      </c>
      <c r="P21" s="114">
        <v>17.395401273193347</v>
      </c>
      <c r="Q21" s="114">
        <v>17.830286305023179</v>
      </c>
    </row>
    <row r="22" spans="2:17" s="169" customFormat="1">
      <c r="C22" s="191" t="str">
        <f>CFS_Hist_TA!D36</f>
        <v>Capital Expenditure - Intangibles</v>
      </c>
      <c r="J22" s="114">
        <v>2.5</v>
      </c>
      <c r="K22" s="114">
        <v>2.5625</v>
      </c>
      <c r="L22" s="114">
        <v>2.6265624999999999</v>
      </c>
      <c r="M22" s="114">
        <v>2.6922265624999997</v>
      </c>
      <c r="N22" s="114">
        <v>2.7595322265624995</v>
      </c>
      <c r="O22" s="114">
        <v>2.8285205322265616</v>
      </c>
      <c r="P22" s="114">
        <v>2.8992335455322253</v>
      </c>
      <c r="Q22" s="114">
        <v>2.9717143841705309</v>
      </c>
    </row>
    <row r="23" spans="2:17" s="169" customFormat="1">
      <c r="K23" s="248"/>
      <c r="L23" s="248"/>
      <c r="M23" s="248"/>
      <c r="N23" s="248"/>
      <c r="O23" s="248"/>
      <c r="P23" s="248"/>
      <c r="Q23" s="248"/>
    </row>
    <row r="24" spans="2:17" s="18" customFormat="1">
      <c r="C24" s="62" t="s">
        <v>203</v>
      </c>
      <c r="K24" s="248"/>
      <c r="L24" s="248"/>
      <c r="M24" s="248"/>
      <c r="N24" s="248"/>
      <c r="O24" s="248"/>
      <c r="P24" s="248"/>
      <c r="Q24" s="248"/>
    </row>
    <row r="25" spans="2:17" s="187" customFormat="1">
      <c r="C25" s="81">
        <v>1</v>
      </c>
      <c r="D25" s="130" t="str">
        <f>"Revenue and expense assumptions are entered in "&amp;INDEX(LU_Denom,DD_TS_Denom)&amp;"."</f>
        <v>Revenue and expense assumptions are entered in $Millions.</v>
      </c>
      <c r="K25" s="248"/>
      <c r="L25" s="248"/>
      <c r="M25" s="248"/>
      <c r="N25" s="248"/>
      <c r="O25" s="248"/>
      <c r="P25" s="248"/>
      <c r="Q25" s="248"/>
    </row>
    <row r="26" spans="2:17" s="18" customFormat="1">
      <c r="C26" s="81">
        <v>2</v>
      </c>
      <c r="D26" s="65" t="s">
        <v>463</v>
      </c>
      <c r="K26" s="248"/>
      <c r="L26" s="248"/>
      <c r="M26" s="248"/>
      <c r="N26" s="248"/>
      <c r="O26" s="248"/>
      <c r="P26" s="248"/>
      <c r="Q26" s="248"/>
    </row>
    <row r="27" spans="2:17" s="18" customFormat="1">
      <c r="K27" s="248"/>
      <c r="L27" s="248"/>
      <c r="M27" s="248"/>
      <c r="N27" s="248"/>
      <c r="O27" s="248"/>
      <c r="P27" s="248"/>
      <c r="Q27" s="248"/>
    </row>
    <row r="28" spans="2:17" s="20" customFormat="1">
      <c r="K28" s="248"/>
      <c r="L28" s="248"/>
      <c r="M28" s="248"/>
      <c r="N28" s="248"/>
      <c r="O28" s="248"/>
      <c r="P28" s="248"/>
      <c r="Q28" s="248"/>
    </row>
    <row r="29" spans="2:17" s="20" customFormat="1" ht="12.75">
      <c r="B29" s="113" t="s">
        <v>402</v>
      </c>
      <c r="I29" s="204"/>
      <c r="K29" s="248"/>
      <c r="L29" s="248"/>
      <c r="M29" s="248"/>
      <c r="N29" s="248"/>
      <c r="O29" s="248"/>
      <c r="P29" s="248"/>
      <c r="Q29" s="248"/>
    </row>
    <row r="30" spans="2:17" s="204" customFormat="1">
      <c r="K30" s="248"/>
      <c r="L30" s="248"/>
      <c r="M30" s="248"/>
      <c r="N30" s="248"/>
      <c r="O30" s="248"/>
      <c r="P30" s="248"/>
      <c r="Q30" s="248"/>
    </row>
    <row r="31" spans="2:17" s="204" customFormat="1" ht="11.25">
      <c r="C31" s="234" t="str">
        <f>BS_Hist_TA!$D$23</f>
        <v>Accounts Receivable</v>
      </c>
      <c r="K31" s="248"/>
      <c r="L31" s="248"/>
      <c r="M31" s="248"/>
      <c r="N31" s="248"/>
      <c r="O31" s="248"/>
      <c r="P31" s="248"/>
      <c r="Q31" s="248"/>
    </row>
    <row r="32" spans="2:17" s="204" customFormat="1">
      <c r="I32" s="235">
        <f>TS_Proj_Start_Date</f>
        <v>41275</v>
      </c>
      <c r="K32" s="248"/>
      <c r="L32" s="248"/>
      <c r="M32" s="248"/>
      <c r="N32" s="248"/>
      <c r="O32" s="248"/>
      <c r="P32" s="248"/>
      <c r="Q32" s="248"/>
    </row>
    <row r="33" spans="2:17" s="204" customFormat="1">
      <c r="D33" s="65" t="s">
        <v>245</v>
      </c>
      <c r="I33" s="236">
        <f ca="1">OFFSET(BS_Hist_TO!$I$23,0,TS_Data_Total_Pers)</f>
        <v>10.764600409836065</v>
      </c>
      <c r="K33" s="248"/>
      <c r="L33" s="248"/>
      <c r="M33" s="248"/>
      <c r="N33" s="248"/>
      <c r="O33" s="248"/>
      <c r="P33" s="248"/>
      <c r="Q33" s="248"/>
    </row>
    <row r="34" spans="2:17" s="204" customFormat="1">
      <c r="D34" s="65" t="s">
        <v>407</v>
      </c>
      <c r="I34" s="231"/>
      <c r="J34" s="230">
        <v>30</v>
      </c>
      <c r="K34" s="230">
        <v>30</v>
      </c>
      <c r="L34" s="230">
        <v>30</v>
      </c>
      <c r="M34" s="230">
        <v>30</v>
      </c>
      <c r="N34" s="230">
        <v>30</v>
      </c>
      <c r="O34" s="230">
        <v>30</v>
      </c>
      <c r="P34" s="230">
        <v>30</v>
      </c>
      <c r="Q34" s="230">
        <v>30</v>
      </c>
    </row>
    <row r="35" spans="2:17" s="204" customFormat="1">
      <c r="K35" s="248"/>
      <c r="L35" s="248"/>
      <c r="M35" s="248"/>
      <c r="N35" s="248"/>
      <c r="O35" s="248"/>
      <c r="P35" s="248"/>
      <c r="Q35" s="248"/>
    </row>
    <row r="36" spans="2:17" s="204" customFormat="1" ht="11.25">
      <c r="C36" s="234" t="str">
        <f>BS_Hist_TA!$D$39</f>
        <v>Accounts Payable</v>
      </c>
      <c r="K36" s="248"/>
      <c r="L36" s="248"/>
      <c r="M36" s="248"/>
      <c r="N36" s="248"/>
      <c r="O36" s="248"/>
      <c r="P36" s="248"/>
      <c r="Q36" s="248"/>
    </row>
    <row r="37" spans="2:17" s="204" customFormat="1">
      <c r="I37" s="235">
        <f>TS_Proj_Start_Date</f>
        <v>41275</v>
      </c>
      <c r="K37" s="248"/>
      <c r="L37" s="248"/>
      <c r="M37" s="248"/>
      <c r="N37" s="248"/>
      <c r="O37" s="248"/>
      <c r="P37" s="248"/>
      <c r="Q37" s="248"/>
    </row>
    <row r="38" spans="2:17" s="204" customFormat="1">
      <c r="D38" s="65" t="s">
        <v>245</v>
      </c>
      <c r="I38" s="236">
        <f ca="1">OFFSET(BS_Hist_TO!$I$39,0,TS_Data_Total_Pers)</f>
        <v>8.3963883196721305</v>
      </c>
      <c r="K38" s="248"/>
      <c r="L38" s="248"/>
      <c r="M38" s="248"/>
      <c r="N38" s="248"/>
      <c r="O38" s="248"/>
      <c r="P38" s="248"/>
      <c r="Q38" s="248"/>
    </row>
    <row r="39" spans="2:17" s="20" customFormat="1">
      <c r="C39" s="204"/>
      <c r="D39" s="65" t="s">
        <v>408</v>
      </c>
      <c r="J39" s="230">
        <v>45</v>
      </c>
      <c r="K39" s="230">
        <v>45</v>
      </c>
      <c r="L39" s="230">
        <v>45</v>
      </c>
      <c r="M39" s="230">
        <v>45</v>
      </c>
      <c r="N39" s="230">
        <v>45</v>
      </c>
      <c r="O39" s="230">
        <v>45</v>
      </c>
      <c r="P39" s="230">
        <v>45</v>
      </c>
      <c r="Q39" s="230">
        <v>45</v>
      </c>
    </row>
    <row r="40" spans="2:17" s="20" customFormat="1">
      <c r="J40" s="169"/>
      <c r="K40" s="248"/>
      <c r="L40" s="248"/>
      <c r="M40" s="248"/>
      <c r="N40" s="248"/>
      <c r="O40" s="248"/>
      <c r="P40" s="248"/>
      <c r="Q40" s="248"/>
    </row>
    <row r="41" spans="2:17" s="20" customFormat="1">
      <c r="C41" s="62" t="s">
        <v>203</v>
      </c>
      <c r="D41" s="169"/>
      <c r="K41" s="248"/>
      <c r="L41" s="248"/>
      <c r="M41" s="248"/>
      <c r="N41" s="248"/>
      <c r="O41" s="248"/>
      <c r="P41" s="248"/>
      <c r="Q41" s="248"/>
    </row>
    <row r="42" spans="2:17" s="20" customFormat="1">
      <c r="C42" s="81">
        <v>1</v>
      </c>
      <c r="D42" s="65" t="s">
        <v>464</v>
      </c>
      <c r="K42" s="248"/>
      <c r="L42" s="248"/>
      <c r="M42" s="248"/>
      <c r="N42" s="248"/>
      <c r="O42" s="248"/>
      <c r="P42" s="248"/>
      <c r="Q42" s="248"/>
    </row>
    <row r="43" spans="2:17" s="20" customFormat="1">
      <c r="K43" s="248"/>
      <c r="L43" s="248"/>
      <c r="M43" s="248"/>
      <c r="N43" s="248"/>
      <c r="O43" s="248"/>
      <c r="P43" s="248"/>
      <c r="Q43" s="248"/>
    </row>
    <row r="44" spans="2:17" s="20" customFormat="1">
      <c r="K44" s="248"/>
      <c r="L44" s="248"/>
      <c r="M44" s="248"/>
      <c r="N44" s="248"/>
      <c r="O44" s="248"/>
      <c r="P44" s="248"/>
      <c r="Q44" s="248"/>
    </row>
    <row r="45" spans="2:17" s="20" customFormat="1" ht="12.75">
      <c r="B45" s="113" t="s">
        <v>403</v>
      </c>
      <c r="I45" s="204"/>
      <c r="K45" s="248"/>
      <c r="L45" s="248"/>
      <c r="M45" s="248"/>
      <c r="N45" s="248"/>
      <c r="O45" s="248"/>
      <c r="P45" s="248"/>
      <c r="Q45" s="248"/>
    </row>
    <row r="46" spans="2:17" s="204" customFormat="1">
      <c r="K46" s="248"/>
      <c r="L46" s="248"/>
      <c r="M46" s="248"/>
      <c r="N46" s="248"/>
      <c r="O46" s="248"/>
      <c r="P46" s="248"/>
      <c r="Q46" s="248"/>
    </row>
    <row r="47" spans="2:17" s="204" customFormat="1" ht="12.75">
      <c r="B47" s="113"/>
      <c r="C47" s="234" t="str">
        <f>BS_Hist_TA!$D$29</f>
        <v>Assets</v>
      </c>
      <c r="I47" s="232"/>
      <c r="K47" s="248"/>
      <c r="L47" s="248"/>
      <c r="M47" s="248"/>
      <c r="N47" s="248"/>
      <c r="O47" s="248"/>
      <c r="P47" s="248"/>
      <c r="Q47" s="248"/>
    </row>
    <row r="48" spans="2:17" s="204" customFormat="1">
      <c r="I48" s="235">
        <f>TS_Proj_Start_Date</f>
        <v>41275</v>
      </c>
      <c r="K48" s="248"/>
      <c r="L48" s="248"/>
      <c r="M48" s="248"/>
      <c r="N48" s="248"/>
      <c r="O48" s="248"/>
      <c r="P48" s="248"/>
      <c r="Q48" s="248"/>
    </row>
    <row r="49" spans="2:17" s="204" customFormat="1">
      <c r="D49" s="65" t="s">
        <v>245</v>
      </c>
      <c r="I49" s="236">
        <f ca="1">OFFSET(BS_Hist_TO!$I$29,0,TS_Data_Total_Pers)</f>
        <v>149.6134375</v>
      </c>
      <c r="K49" s="248"/>
      <c r="L49" s="248"/>
      <c r="M49" s="248"/>
      <c r="N49" s="248"/>
      <c r="O49" s="248"/>
      <c r="P49" s="248"/>
      <c r="Q49" s="248"/>
    </row>
    <row r="50" spans="2:17" s="204" customFormat="1">
      <c r="D50" s="65" t="s">
        <v>468</v>
      </c>
      <c r="I50" s="231"/>
      <c r="J50" s="64">
        <v>0.9</v>
      </c>
      <c r="K50" s="64">
        <v>0.9</v>
      </c>
      <c r="L50" s="64">
        <v>0.9</v>
      </c>
      <c r="M50" s="64">
        <v>0.9</v>
      </c>
      <c r="N50" s="64">
        <v>0.9</v>
      </c>
      <c r="O50" s="64">
        <v>0.9</v>
      </c>
      <c r="P50" s="64">
        <v>0.9</v>
      </c>
      <c r="Q50" s="64">
        <v>0.9</v>
      </c>
    </row>
    <row r="51" spans="2:17" s="204" customFormat="1">
      <c r="K51" s="248"/>
      <c r="L51" s="248"/>
      <c r="M51" s="248"/>
      <c r="N51" s="248"/>
      <c r="O51" s="248"/>
      <c r="P51" s="248"/>
      <c r="Q51" s="248"/>
    </row>
    <row r="52" spans="2:17" s="204" customFormat="1" ht="12.75">
      <c r="B52" s="113"/>
      <c r="C52" s="234" t="str">
        <f>BS_Hist_TA!$D$30</f>
        <v>Intangibles</v>
      </c>
      <c r="I52" s="232"/>
      <c r="K52" s="248"/>
      <c r="L52" s="248"/>
      <c r="M52" s="248"/>
      <c r="N52" s="248"/>
      <c r="O52" s="248"/>
      <c r="P52" s="248"/>
      <c r="Q52" s="248"/>
    </row>
    <row r="53" spans="2:17" s="204" customFormat="1">
      <c r="I53" s="235">
        <f>TS_Proj_Start_Date</f>
        <v>41275</v>
      </c>
      <c r="K53" s="248"/>
      <c r="L53" s="248"/>
      <c r="M53" s="248"/>
      <c r="N53" s="248"/>
      <c r="O53" s="248"/>
      <c r="P53" s="248"/>
      <c r="Q53" s="248"/>
    </row>
    <row r="54" spans="2:17" s="204" customFormat="1">
      <c r="D54" s="65" t="s">
        <v>245</v>
      </c>
      <c r="I54" s="236">
        <f ca="1">OFFSET(BS_Hist_TO!$I$30,0,TS_Data_Total_Pers)</f>
        <v>17.266796874999997</v>
      </c>
      <c r="K54" s="248"/>
      <c r="L54" s="248"/>
      <c r="M54" s="248"/>
      <c r="N54" s="248"/>
      <c r="O54" s="248"/>
      <c r="P54" s="248"/>
      <c r="Q54" s="248"/>
    </row>
    <row r="55" spans="2:17" s="204" customFormat="1">
      <c r="D55" s="65" t="s">
        <v>468</v>
      </c>
      <c r="I55" s="231"/>
      <c r="J55" s="64">
        <v>0.25</v>
      </c>
      <c r="K55" s="64">
        <v>0.25</v>
      </c>
      <c r="L55" s="64">
        <v>0.25</v>
      </c>
      <c r="M55" s="64">
        <v>0.25</v>
      </c>
      <c r="N55" s="64">
        <v>0.25</v>
      </c>
      <c r="O55" s="64">
        <v>0.25</v>
      </c>
      <c r="P55" s="64">
        <v>0.25</v>
      </c>
      <c r="Q55" s="64">
        <v>0.25</v>
      </c>
    </row>
    <row r="56" spans="2:17" s="20" customFormat="1">
      <c r="K56" s="248"/>
      <c r="L56" s="248"/>
      <c r="M56" s="248"/>
      <c r="N56" s="248"/>
      <c r="O56" s="248"/>
      <c r="P56" s="248"/>
      <c r="Q56" s="248"/>
    </row>
    <row r="57" spans="2:17" s="20" customFormat="1">
      <c r="K57" s="248"/>
      <c r="L57" s="248"/>
      <c r="M57" s="248"/>
      <c r="N57" s="248"/>
      <c r="O57" s="248"/>
      <c r="P57" s="248"/>
      <c r="Q57" s="248"/>
    </row>
    <row r="58" spans="2:17" s="20" customFormat="1" ht="12.75">
      <c r="B58" s="113" t="s">
        <v>404</v>
      </c>
      <c r="K58" s="248"/>
      <c r="L58" s="248"/>
      <c r="M58" s="248"/>
      <c r="N58" s="248"/>
      <c r="O58" s="248"/>
      <c r="P58" s="248"/>
      <c r="Q58" s="248"/>
    </row>
    <row r="59" spans="2:17" s="20" customFormat="1">
      <c r="K59" s="248"/>
      <c r="L59" s="248"/>
      <c r="M59" s="248"/>
      <c r="N59" s="248"/>
      <c r="O59" s="248"/>
      <c r="P59" s="248"/>
      <c r="Q59" s="248"/>
    </row>
    <row r="60" spans="2:17" s="169" customFormat="1" ht="11.25">
      <c r="C60" s="234" t="str">
        <f>BS_Hist_TA!$D$48</f>
        <v>Debt</v>
      </c>
      <c r="K60" s="248"/>
      <c r="L60" s="248"/>
      <c r="M60" s="248"/>
      <c r="N60" s="248"/>
      <c r="O60" s="248"/>
      <c r="P60" s="248"/>
      <c r="Q60" s="248"/>
    </row>
    <row r="61" spans="2:17" s="169" customFormat="1">
      <c r="K61" s="248"/>
      <c r="L61" s="248"/>
      <c r="M61" s="248"/>
      <c r="N61" s="248"/>
      <c r="O61" s="248"/>
      <c r="P61" s="248"/>
      <c r="Q61" s="248"/>
    </row>
    <row r="62" spans="2:17" s="18" customFormat="1">
      <c r="D62" s="134" t="str">
        <f>"Funds Drawn ("&amp;INDEX(LU_Denom,DD_TS_Denom)&amp;")"</f>
        <v>Funds Drawn ($Millions)</v>
      </c>
      <c r="K62" s="248"/>
      <c r="L62" s="248"/>
      <c r="M62" s="248"/>
      <c r="N62" s="248"/>
      <c r="O62" s="248"/>
      <c r="P62" s="248"/>
      <c r="Q62" s="248"/>
    </row>
    <row r="63" spans="2:17" s="18" customFormat="1">
      <c r="I63" s="235">
        <f>TS_Proj_Start_Date</f>
        <v>41275</v>
      </c>
      <c r="K63" s="248"/>
      <c r="L63" s="248"/>
      <c r="M63" s="248"/>
      <c r="N63" s="248"/>
      <c r="O63" s="248"/>
      <c r="P63" s="248"/>
      <c r="Q63" s="248"/>
    </row>
    <row r="64" spans="2:17" s="18" customFormat="1">
      <c r="E64" s="65" t="s">
        <v>245</v>
      </c>
      <c r="I64" s="236">
        <f ca="1">OFFSET(BS_Hist_TO!$I$48,0,TS_Data_Total_Pers)</f>
        <v>50</v>
      </c>
      <c r="J64" s="82">
        <f>Fcast_OP_TO!J95</f>
        <v>0</v>
      </c>
      <c r="K64" s="82">
        <f>Fcast_OP_TO!K95</f>
        <v>0</v>
      </c>
      <c r="L64" s="82">
        <f>Fcast_OP_TO!L95</f>
        <v>0</v>
      </c>
      <c r="M64" s="82">
        <f ca="1">Fcast_OP_TO!M95</f>
        <v>50</v>
      </c>
      <c r="N64" s="82">
        <f ca="1">Fcast_OP_TO!N95</f>
        <v>50</v>
      </c>
      <c r="O64" s="82">
        <f ca="1">Fcast_OP_TO!O95</f>
        <v>55</v>
      </c>
      <c r="P64" s="82">
        <f ca="1">Fcast_OP_TO!P95</f>
        <v>55</v>
      </c>
      <c r="Q64" s="82">
        <f ca="1">Fcast_OP_TO!Q95</f>
        <v>55</v>
      </c>
    </row>
    <row r="65" spans="3:17" s="18" customFormat="1">
      <c r="E65" s="65" t="s">
        <v>246</v>
      </c>
      <c r="J65" s="114">
        <v>0</v>
      </c>
      <c r="K65" s="114">
        <v>0</v>
      </c>
      <c r="L65" s="114">
        <v>0</v>
      </c>
      <c r="M65" s="114">
        <v>0</v>
      </c>
      <c r="N65" s="114">
        <v>50</v>
      </c>
      <c r="O65" s="114">
        <v>0</v>
      </c>
      <c r="P65" s="114">
        <v>0</v>
      </c>
      <c r="Q65" s="114">
        <v>0</v>
      </c>
    </row>
    <row r="66" spans="3:17" s="18" customFormat="1">
      <c r="E66" s="65" t="s">
        <v>247</v>
      </c>
      <c r="J66" s="114">
        <v>0</v>
      </c>
      <c r="K66" s="114">
        <v>0</v>
      </c>
      <c r="L66" s="114">
        <v>0</v>
      </c>
      <c r="M66" s="114">
        <v>0</v>
      </c>
      <c r="N66" s="114">
        <v>45</v>
      </c>
      <c r="O66" s="114">
        <v>0</v>
      </c>
      <c r="P66" s="114">
        <v>0</v>
      </c>
      <c r="Q66" s="114">
        <v>0</v>
      </c>
    </row>
    <row r="67" spans="3:17" s="18" customFormat="1">
      <c r="E67" s="62" t="s">
        <v>248</v>
      </c>
      <c r="J67" s="129">
        <f>Fcast_OP_TO!J98</f>
        <v>0</v>
      </c>
      <c r="K67" s="129">
        <f>Fcast_OP_TO!K98</f>
        <v>0</v>
      </c>
      <c r="L67" s="129">
        <f>Fcast_OP_TO!L98</f>
        <v>0</v>
      </c>
      <c r="M67" s="129">
        <f ca="1">Fcast_OP_TO!M98</f>
        <v>50</v>
      </c>
      <c r="N67" s="129">
        <f ca="1">Fcast_OP_TO!N98</f>
        <v>55</v>
      </c>
      <c r="O67" s="129">
        <f ca="1">Fcast_OP_TO!O98</f>
        <v>55</v>
      </c>
      <c r="P67" s="129">
        <f ca="1">Fcast_OP_TO!P98</f>
        <v>55</v>
      </c>
      <c r="Q67" s="129">
        <f ca="1">Fcast_OP_TO!Q98</f>
        <v>55</v>
      </c>
    </row>
    <row r="68" spans="3:17" s="18" customFormat="1">
      <c r="K68" s="248"/>
      <c r="L68" s="248"/>
      <c r="M68" s="248"/>
      <c r="N68" s="248"/>
      <c r="O68" s="248"/>
      <c r="P68" s="248"/>
      <c r="Q68" s="248"/>
    </row>
    <row r="69" spans="3:17" s="18" customFormat="1">
      <c r="E69" s="65" t="s">
        <v>249</v>
      </c>
      <c r="J69" s="63">
        <v>0.5</v>
      </c>
      <c r="K69" s="63">
        <v>0.5</v>
      </c>
      <c r="L69" s="63">
        <v>0.5</v>
      </c>
      <c r="M69" s="63">
        <v>0.5</v>
      </c>
      <c r="N69" s="63">
        <v>0.5</v>
      </c>
      <c r="O69" s="63">
        <v>0.5</v>
      </c>
      <c r="P69" s="63">
        <v>0.5</v>
      </c>
      <c r="Q69" s="63">
        <v>0.5</v>
      </c>
    </row>
    <row r="70" spans="3:17" s="18" customFormat="1">
      <c r="K70" s="248"/>
      <c r="L70" s="248"/>
      <c r="M70" s="248"/>
      <c r="N70" s="248"/>
      <c r="O70" s="248"/>
      <c r="P70" s="248"/>
      <c r="Q70" s="248"/>
    </row>
    <row r="71" spans="3:17" s="18" customFormat="1">
      <c r="D71" s="62" t="s">
        <v>250</v>
      </c>
      <c r="K71" s="248"/>
      <c r="L71" s="248"/>
      <c r="M71" s="248"/>
      <c r="N71" s="248"/>
      <c r="O71" s="248"/>
      <c r="P71" s="248"/>
      <c r="Q71" s="248"/>
    </row>
    <row r="72" spans="3:17" s="18" customFormat="1">
      <c r="I72" s="235">
        <f>TS_Proj_Start_Date</f>
        <v>41275</v>
      </c>
      <c r="K72" s="248"/>
      <c r="L72" s="248"/>
      <c r="M72" s="248"/>
      <c r="N72" s="248"/>
      <c r="O72" s="248"/>
      <c r="P72" s="248"/>
      <c r="Q72" s="248"/>
    </row>
    <row r="73" spans="3:17" s="18" customFormat="1">
      <c r="E73" s="130" t="str">
        <f>"Opening Interest Payable ("&amp;INDEX(LU_Denom,DD_TS_Denom)&amp;")"</f>
        <v>Opening Interest Payable ($Millions)</v>
      </c>
      <c r="I73" s="236">
        <f ca="1">OFFSET(BS_Hist_TO!$I$41,0,TS_Data_Total_Pers)</f>
        <v>0</v>
      </c>
      <c r="K73" s="248"/>
      <c r="L73" s="248"/>
      <c r="M73" s="248"/>
      <c r="N73" s="248"/>
      <c r="O73" s="248"/>
      <c r="P73" s="248"/>
      <c r="Q73" s="248"/>
    </row>
    <row r="74" spans="3:17" s="18" customFormat="1">
      <c r="K74" s="248"/>
      <c r="L74" s="248"/>
      <c r="M74" s="248"/>
      <c r="N74" s="248"/>
      <c r="O74" s="248"/>
      <c r="P74" s="248"/>
      <c r="Q74" s="248"/>
    </row>
    <row r="75" spans="3:17" s="18" customFormat="1">
      <c r="E75" s="65" t="s">
        <v>251</v>
      </c>
      <c r="J75" s="132">
        <v>0.05</v>
      </c>
      <c r="K75" s="132">
        <v>0.05</v>
      </c>
      <c r="L75" s="132">
        <v>0.05</v>
      </c>
      <c r="M75" s="132">
        <v>0.05</v>
      </c>
      <c r="N75" s="132">
        <v>0.05</v>
      </c>
      <c r="O75" s="132">
        <v>0.05</v>
      </c>
      <c r="P75" s="132">
        <v>0.05</v>
      </c>
      <c r="Q75" s="132">
        <v>0.05</v>
      </c>
    </row>
    <row r="76" spans="3:17" s="18" customFormat="1">
      <c r="E76" s="65" t="s">
        <v>252</v>
      </c>
      <c r="J76" s="132">
        <v>1.4999999999999999E-2</v>
      </c>
      <c r="K76" s="132">
        <v>1.4999999999999999E-2</v>
      </c>
      <c r="L76" s="132">
        <v>1.4999999999999999E-2</v>
      </c>
      <c r="M76" s="132">
        <v>1.4999999999999999E-2</v>
      </c>
      <c r="N76" s="132">
        <v>1.4999999999999999E-2</v>
      </c>
      <c r="O76" s="132">
        <v>1.4999999999999999E-2</v>
      </c>
      <c r="P76" s="132">
        <v>1.4999999999999999E-2</v>
      </c>
      <c r="Q76" s="132">
        <v>1.4999999999999999E-2</v>
      </c>
    </row>
    <row r="77" spans="3:17" s="18" customFormat="1">
      <c r="E77" s="65" t="s">
        <v>253</v>
      </c>
      <c r="J77" s="133">
        <f>IF(J$12=0,0,SUM(J75:J76))</f>
        <v>0</v>
      </c>
      <c r="K77" s="133">
        <f t="shared" ref="K77:Q77" si="8">IF(K$12=0,0,SUM(K75:K76))</f>
        <v>0</v>
      </c>
      <c r="L77" s="133">
        <f t="shared" si="8"/>
        <v>0</v>
      </c>
      <c r="M77" s="133">
        <f t="shared" si="8"/>
        <v>6.5000000000000002E-2</v>
      </c>
      <c r="N77" s="133">
        <f t="shared" si="8"/>
        <v>6.5000000000000002E-2</v>
      </c>
      <c r="O77" s="133">
        <f t="shared" si="8"/>
        <v>6.5000000000000002E-2</v>
      </c>
      <c r="P77" s="133">
        <f t="shared" si="8"/>
        <v>6.5000000000000002E-2</v>
      </c>
      <c r="Q77" s="133">
        <f t="shared" si="8"/>
        <v>6.5000000000000002E-2</v>
      </c>
    </row>
    <row r="78" spans="3:17" s="20" customFormat="1">
      <c r="K78" s="248"/>
      <c r="L78" s="248"/>
      <c r="M78" s="248"/>
      <c r="N78" s="248"/>
      <c r="O78" s="248"/>
      <c r="P78" s="248"/>
      <c r="Q78" s="248"/>
    </row>
    <row r="79" spans="3:17" s="18" customFormat="1" ht="11.25">
      <c r="C79" s="234" t="str">
        <f>BS_Hist_TA!D59</f>
        <v>Ordinary Equity</v>
      </c>
      <c r="K79" s="248"/>
      <c r="L79" s="248"/>
      <c r="M79" s="248"/>
      <c r="N79" s="248"/>
      <c r="O79" s="248"/>
      <c r="P79" s="248"/>
      <c r="Q79" s="248"/>
    </row>
    <row r="80" spans="3:17" s="18" customFormat="1">
      <c r="K80" s="248"/>
      <c r="L80" s="248"/>
      <c r="M80" s="248"/>
      <c r="N80" s="248"/>
      <c r="O80" s="248"/>
      <c r="P80" s="248"/>
      <c r="Q80" s="248"/>
    </row>
    <row r="81" spans="4:17" s="18" customFormat="1">
      <c r="D81" s="134" t="str">
        <f>"Ordinary Equity Balances"&amp;" ("&amp;INDEX(LU_Denom,DD_TS_Denom)&amp;")"</f>
        <v>Ordinary Equity Balances ($Millions)</v>
      </c>
      <c r="K81" s="248"/>
      <c r="L81" s="248"/>
      <c r="M81" s="248"/>
      <c r="N81" s="248"/>
      <c r="O81" s="248"/>
      <c r="P81" s="248"/>
      <c r="Q81" s="248"/>
    </row>
    <row r="82" spans="4:17" s="18" customFormat="1">
      <c r="I82" s="235">
        <f>TS_Proj_Start_Date</f>
        <v>41275</v>
      </c>
      <c r="K82" s="248"/>
      <c r="L82" s="248"/>
      <c r="M82" s="248"/>
      <c r="N82" s="248"/>
      <c r="O82" s="248"/>
      <c r="P82" s="248"/>
      <c r="Q82" s="248"/>
    </row>
    <row r="83" spans="4:17" s="18" customFormat="1">
      <c r="E83" s="65" t="s">
        <v>245</v>
      </c>
      <c r="I83" s="236">
        <f ca="1">OFFSET(BS_Hist_TO!$I$59,0,TS_Data_Total_Pers)</f>
        <v>75</v>
      </c>
      <c r="J83" s="82">
        <f>Fcast_OP_TO!J121</f>
        <v>0</v>
      </c>
      <c r="K83" s="82">
        <f>Fcast_OP_TO!K121</f>
        <v>0</v>
      </c>
      <c r="L83" s="82">
        <f>Fcast_OP_TO!L121</f>
        <v>0</v>
      </c>
      <c r="M83" s="82">
        <f ca="1">Fcast_OP_TO!M121</f>
        <v>75</v>
      </c>
      <c r="N83" s="82">
        <f ca="1">Fcast_OP_TO!N121</f>
        <v>75</v>
      </c>
      <c r="O83" s="82">
        <f ca="1">Fcast_OP_TO!O121</f>
        <v>75</v>
      </c>
      <c r="P83" s="82">
        <f ca="1">Fcast_OP_TO!P121</f>
        <v>75</v>
      </c>
      <c r="Q83" s="82">
        <f ca="1">Fcast_OP_TO!Q121</f>
        <v>75</v>
      </c>
    </row>
    <row r="84" spans="4:17" s="18" customFormat="1">
      <c r="E84" s="65" t="s">
        <v>264</v>
      </c>
      <c r="J84" s="114">
        <v>0</v>
      </c>
      <c r="K84" s="114">
        <v>0</v>
      </c>
      <c r="L84" s="114">
        <v>0</v>
      </c>
      <c r="M84" s="114">
        <v>0</v>
      </c>
      <c r="N84" s="114">
        <v>0</v>
      </c>
      <c r="O84" s="114">
        <v>0</v>
      </c>
      <c r="P84" s="114">
        <v>0</v>
      </c>
      <c r="Q84" s="114">
        <v>0</v>
      </c>
    </row>
    <row r="85" spans="4:17" s="18" customFormat="1">
      <c r="E85" s="65" t="s">
        <v>265</v>
      </c>
      <c r="J85" s="114">
        <v>0</v>
      </c>
      <c r="K85" s="114">
        <v>0</v>
      </c>
      <c r="L85" s="114">
        <v>0</v>
      </c>
      <c r="M85" s="114">
        <v>0</v>
      </c>
      <c r="N85" s="114">
        <v>0</v>
      </c>
      <c r="O85" s="114">
        <v>0</v>
      </c>
      <c r="P85" s="114">
        <v>0</v>
      </c>
      <c r="Q85" s="114">
        <v>0</v>
      </c>
    </row>
    <row r="86" spans="4:17" s="18" customFormat="1">
      <c r="E86" s="62" t="s">
        <v>266</v>
      </c>
      <c r="J86" s="129">
        <f>Fcast_OP_TO!J124</f>
        <v>0</v>
      </c>
      <c r="K86" s="129">
        <f>Fcast_OP_TO!K124</f>
        <v>0</v>
      </c>
      <c r="L86" s="129">
        <f>Fcast_OP_TO!L124</f>
        <v>0</v>
      </c>
      <c r="M86" s="129">
        <f ca="1">Fcast_OP_TO!M124</f>
        <v>75</v>
      </c>
      <c r="N86" s="129">
        <f ca="1">Fcast_OP_TO!N124</f>
        <v>75</v>
      </c>
      <c r="O86" s="129">
        <f ca="1">Fcast_OP_TO!O124</f>
        <v>75</v>
      </c>
      <c r="P86" s="129">
        <f ca="1">Fcast_OP_TO!P124</f>
        <v>75</v>
      </c>
      <c r="Q86" s="129">
        <f ca="1">Fcast_OP_TO!Q124</f>
        <v>75</v>
      </c>
    </row>
    <row r="87" spans="4:17" s="18" customFormat="1"/>
    <row r="88" spans="4:17" s="18" customFormat="1">
      <c r="D88" s="62" t="s">
        <v>267</v>
      </c>
    </row>
    <row r="89" spans="4:17" s="18" customFormat="1">
      <c r="I89" s="235">
        <f>TS_Proj_Start_Date</f>
        <v>41275</v>
      </c>
    </row>
    <row r="90" spans="4:17" s="18" customFormat="1">
      <c r="E90" s="130" t="str">
        <f>"Opening Dividends Payable ("&amp;INDEX(LU_Denom,DD_TS_Denom)&amp;")"</f>
        <v>Opening Dividends Payable ($Millions)</v>
      </c>
      <c r="I90" s="236">
        <f ca="1">OFFSET(BS_Hist_TO!$I$42,0,TS_Data_Total_Pers)</f>
        <v>0</v>
      </c>
    </row>
    <row r="91" spans="4:17" s="18" customFormat="1"/>
    <row r="92" spans="4:17" s="18" customFormat="1" ht="15.75" customHeight="1">
      <c r="E92" s="65" t="s">
        <v>541</v>
      </c>
      <c r="I92" s="80">
        <v>1</v>
      </c>
    </row>
    <row r="93" spans="4:17" s="18" customFormat="1"/>
    <row r="94" spans="4:17" s="18" customFormat="1">
      <c r="E94" s="65" t="s">
        <v>268</v>
      </c>
      <c r="J94" s="137" t="s">
        <v>86</v>
      </c>
      <c r="K94" s="137" t="s">
        <v>86</v>
      </c>
      <c r="L94" s="137" t="s">
        <v>86</v>
      </c>
      <c r="M94" s="137" t="s">
        <v>86</v>
      </c>
      <c r="N94" s="137" t="s">
        <v>86</v>
      </c>
      <c r="O94" s="137" t="s">
        <v>86</v>
      </c>
      <c r="P94" s="137" t="s">
        <v>86</v>
      </c>
      <c r="Q94" s="137" t="s">
        <v>86</v>
      </c>
    </row>
    <row r="95" spans="4:17" s="18" customFormat="1">
      <c r="E95" s="130" t="str">
        <f>"Dividend Payout Ratio - "&amp;IF(DD_Eq_Ord_Div_Meth=1,INDEX(LU_Eq_Ord_Div_Meth,DD_Eq_Ord_Div_Meth),"Not Applied")</f>
        <v>Dividend Payout Ratio - % of NPAT</v>
      </c>
      <c r="J95" s="63">
        <v>0.5</v>
      </c>
      <c r="K95" s="63">
        <v>0.5</v>
      </c>
      <c r="L95" s="63">
        <v>0.5</v>
      </c>
      <c r="M95" s="63">
        <v>0.5</v>
      </c>
      <c r="N95" s="63">
        <v>0.5</v>
      </c>
      <c r="O95" s="63">
        <v>0.5</v>
      </c>
      <c r="P95" s="63">
        <v>0.5</v>
      </c>
      <c r="Q95" s="63">
        <v>0.5</v>
      </c>
    </row>
    <row r="96" spans="4:17" s="18" customFormat="1">
      <c r="E96" s="130" t="str">
        <f>"Assumed Dividends "&amp;IF(DD_Eq_Ord_Div_Meth=2,"("&amp;INDEX(LU_Denom,DD_TS_Denom)&amp;")","- Not Applied")</f>
        <v>Assumed Dividends - Not Applied</v>
      </c>
      <c r="J96" s="114">
        <v>0</v>
      </c>
      <c r="K96" s="114">
        <v>0</v>
      </c>
      <c r="L96" s="114">
        <v>0</v>
      </c>
      <c r="M96" s="114">
        <v>0</v>
      </c>
      <c r="N96" s="114">
        <v>0</v>
      </c>
      <c r="O96" s="114">
        <v>0</v>
      </c>
      <c r="P96" s="114">
        <v>0</v>
      </c>
      <c r="Q96" s="114">
        <v>0</v>
      </c>
    </row>
    <row r="97" spans="2:9" s="18" customFormat="1"/>
    <row r="98" spans="2:9" s="18" customFormat="1" ht="17.25" customHeight="1">
      <c r="E98" s="80" t="b">
        <v>0</v>
      </c>
    </row>
    <row r="99" spans="2:9" s="18" customFormat="1" ht="17.25" customHeight="1">
      <c r="E99" s="80" t="b">
        <v>0</v>
      </c>
    </row>
    <row r="100" spans="2:9" s="18" customFormat="1"/>
    <row r="101" spans="2:9" s="18" customFormat="1">
      <c r="D101" s="62" t="s">
        <v>203</v>
      </c>
      <c r="E101" s="109"/>
    </row>
    <row r="102" spans="2:9" s="18" customFormat="1">
      <c r="B102" s="109"/>
      <c r="D102" s="81">
        <v>1</v>
      </c>
      <c r="E102" s="65" t="s">
        <v>269</v>
      </c>
    </row>
    <row r="103" spans="2:9" s="18" customFormat="1">
      <c r="B103" s="109"/>
      <c r="D103" s="81">
        <v>2</v>
      </c>
      <c r="E103" s="65" t="s">
        <v>270</v>
      </c>
    </row>
    <row r="104" spans="2:9" s="20" customFormat="1"/>
    <row r="105" spans="2:9" s="20" customFormat="1"/>
    <row r="106" spans="2:9" s="18" customFormat="1" ht="12.75">
      <c r="B106" s="113" t="s">
        <v>405</v>
      </c>
    </row>
    <row r="107" spans="2:9" s="18" customFormat="1"/>
    <row r="108" spans="2:9" s="18" customFormat="1" ht="11.25">
      <c r="C108" s="234" t="str">
        <f>BS_Hist_TA!$D$40</f>
        <v>Tax Payable</v>
      </c>
    </row>
    <row r="109" spans="2:9" s="18" customFormat="1">
      <c r="I109" s="235">
        <f>TS_Proj_Start_Date</f>
        <v>41275</v>
      </c>
    </row>
    <row r="110" spans="2:9" s="169" customFormat="1">
      <c r="D110" s="130" t="str">
        <f>"Opening Tax Payable ("&amp;INDEX(LU_Denom,DD_TS_Denom)&amp;")"</f>
        <v>Opening Tax Payable ($Millions)</v>
      </c>
      <c r="I110" s="236">
        <f ca="1">OFFSET(BS_Hist_TO!$I$40,0,TS_Data_Total_Pers)</f>
        <v>13.484226562500004</v>
      </c>
    </row>
    <row r="111" spans="2:9" s="169" customFormat="1">
      <c r="D111" s="65"/>
    </row>
    <row r="112" spans="2:9" s="18" customFormat="1" ht="11.25">
      <c r="C112" s="61" t="s">
        <v>1</v>
      </c>
    </row>
    <row r="113" spans="2:12" s="18" customFormat="1"/>
    <row r="114" spans="2:12" s="18" customFormat="1">
      <c r="D114" s="65" t="s">
        <v>2</v>
      </c>
      <c r="I114" s="63">
        <v>0.3</v>
      </c>
    </row>
    <row r="115" spans="2:12" s="18" customFormat="1"/>
    <row r="116" spans="2:12" s="18" customFormat="1">
      <c r="C116" s="62" t="s">
        <v>203</v>
      </c>
      <c r="D116" s="109"/>
    </row>
    <row r="117" spans="2:12" s="18" customFormat="1">
      <c r="B117" s="109"/>
      <c r="C117" s="81">
        <v>1</v>
      </c>
      <c r="D117" s="65" t="s">
        <v>475</v>
      </c>
    </row>
    <row r="118" spans="2:12" s="20" customFormat="1">
      <c r="C118" s="81">
        <v>2</v>
      </c>
      <c r="D118" s="65" t="s">
        <v>416</v>
      </c>
    </row>
    <row r="119" spans="2:12" s="20" customFormat="1" ht="10.5" customHeight="1">
      <c r="C119" s="81">
        <v>3</v>
      </c>
      <c r="D119" s="250" t="s">
        <v>477</v>
      </c>
      <c r="E119" s="249"/>
      <c r="F119" s="249"/>
      <c r="G119" s="249"/>
      <c r="H119" s="249"/>
      <c r="I119" s="249"/>
      <c r="J119" s="249"/>
      <c r="K119" s="249"/>
      <c r="L119" s="174"/>
    </row>
    <row r="120" spans="2:12" s="20" customFormat="1">
      <c r="D120" s="249"/>
      <c r="E120" s="249"/>
      <c r="F120" s="249"/>
      <c r="G120" s="249"/>
      <c r="H120" s="249"/>
      <c r="I120" s="249"/>
      <c r="J120" s="249"/>
      <c r="K120" s="249"/>
      <c r="L120" s="174"/>
    </row>
    <row r="121" spans="2:12" s="20" customFormat="1"/>
    <row r="122" spans="2:12" s="20" customFormat="1"/>
    <row r="123" spans="2:12" s="20" customFormat="1" ht="12.75">
      <c r="B123" s="113" t="s">
        <v>567</v>
      </c>
    </row>
    <row r="124" spans="2:12" s="20" customFormat="1"/>
    <row r="125" spans="2:12" s="20" customFormat="1" ht="11.25">
      <c r="C125" s="61" t="s">
        <v>487</v>
      </c>
    </row>
    <row r="126" spans="2:12" s="20" customFormat="1"/>
    <row r="127" spans="2:12" s="169" customFormat="1">
      <c r="D127" s="65" t="s">
        <v>279</v>
      </c>
      <c r="I127" s="236">
        <f ca="1">OFFSET(BS_Hist_TO!$I$22,0,TS_Data_Total_Pers)</f>
        <v>24.635307976188827</v>
      </c>
    </row>
    <row r="128" spans="2:12" s="204" customFormat="1">
      <c r="D128" s="65"/>
      <c r="I128" s="231"/>
    </row>
    <row r="129" spans="2:17" s="204" customFormat="1" ht="11.25">
      <c r="C129" s="61" t="s">
        <v>39</v>
      </c>
      <c r="D129" s="65"/>
      <c r="I129" s="231"/>
    </row>
    <row r="130" spans="2:17" s="204" customFormat="1">
      <c r="D130" s="65"/>
      <c r="I130" s="231"/>
    </row>
    <row r="131" spans="2:17" s="204" customFormat="1">
      <c r="D131" s="65" t="s">
        <v>277</v>
      </c>
      <c r="I131" s="236">
        <f ca="1">OFFSET(BS_Hist_TO!$I$64,0,TS_Data_Total_Pers)</f>
        <v>46.399527878852751</v>
      </c>
    </row>
    <row r="132" spans="2:17" s="20" customFormat="1"/>
    <row r="133" spans="2:17" s="20" customFormat="1" ht="11.25">
      <c r="C133" s="61" t="s">
        <v>545</v>
      </c>
      <c r="I133" s="206" t="s">
        <v>530</v>
      </c>
    </row>
    <row r="134" spans="2:17" s="20" customFormat="1">
      <c r="I134" s="235">
        <f>TS_Proj_Start_Date</f>
        <v>41275</v>
      </c>
    </row>
    <row r="135" spans="2:17" s="20" customFormat="1">
      <c r="D135" s="191" t="str">
        <f>BS_Hist_TA!$D$24</f>
        <v>Other Current Assets</v>
      </c>
      <c r="I135" s="236">
        <f ca="1">OFFSET(BS_Hist_TO!$I$24,0,TS_Data_Total_Pers)</f>
        <v>5</v>
      </c>
      <c r="J135" s="114">
        <v>3</v>
      </c>
      <c r="K135" s="114">
        <v>4</v>
      </c>
      <c r="L135" s="114">
        <v>5</v>
      </c>
      <c r="M135" s="114">
        <v>6</v>
      </c>
      <c r="N135" s="114">
        <v>7</v>
      </c>
      <c r="O135" s="114">
        <v>8</v>
      </c>
      <c r="P135" s="114">
        <v>9</v>
      </c>
      <c r="Q135" s="114">
        <v>10</v>
      </c>
    </row>
    <row r="136" spans="2:17" s="20" customFormat="1">
      <c r="D136" s="191" t="str">
        <f>BS_Hist_TA!$D$32</f>
        <v>Other Non-Current Assets</v>
      </c>
      <c r="I136" s="236">
        <f ca="1">OFFSET(BS_Hist_TO!$I$32,0,TS_Data_Total_Pers)</f>
        <v>6</v>
      </c>
      <c r="J136" s="114">
        <v>4</v>
      </c>
      <c r="K136" s="114">
        <v>5</v>
      </c>
      <c r="L136" s="114">
        <v>6</v>
      </c>
      <c r="M136" s="114">
        <v>7</v>
      </c>
      <c r="N136" s="114">
        <v>8</v>
      </c>
      <c r="O136" s="114">
        <v>9</v>
      </c>
      <c r="P136" s="114">
        <v>10</v>
      </c>
      <c r="Q136" s="114">
        <v>11</v>
      </c>
    </row>
    <row r="137" spans="2:17" s="20" customFormat="1">
      <c r="D137" s="191" t="str">
        <f>BS_Hist_TA!$D$43</f>
        <v>Other Current Liabilities</v>
      </c>
      <c r="I137" s="236">
        <f ca="1">OFFSET(BS_Hist_TO!$I$43,0,TS_Data_Total_Pers)</f>
        <v>7</v>
      </c>
      <c r="J137" s="114">
        <v>5</v>
      </c>
      <c r="K137" s="114">
        <v>6</v>
      </c>
      <c r="L137" s="114">
        <v>7</v>
      </c>
      <c r="M137" s="114">
        <v>8</v>
      </c>
      <c r="N137" s="114">
        <v>9</v>
      </c>
      <c r="O137" s="114">
        <v>10</v>
      </c>
      <c r="P137" s="114">
        <v>11</v>
      </c>
      <c r="Q137" s="114">
        <v>12</v>
      </c>
    </row>
    <row r="138" spans="2:17" s="20" customFormat="1">
      <c r="D138" s="191" t="str">
        <f>BS_Hist_TA!$D$50</f>
        <v>Other Non-Current Liabilities</v>
      </c>
      <c r="I138" s="236">
        <f ca="1">OFFSET(BS_Hist_TO!$I$50,0,TS_Data_Total_Pers)</f>
        <v>8</v>
      </c>
      <c r="J138" s="114">
        <v>6</v>
      </c>
      <c r="K138" s="114">
        <v>7</v>
      </c>
      <c r="L138" s="114">
        <v>8</v>
      </c>
      <c r="M138" s="114">
        <v>9</v>
      </c>
      <c r="N138" s="114">
        <v>10</v>
      </c>
      <c r="O138" s="114">
        <v>11</v>
      </c>
      <c r="P138" s="114">
        <v>12</v>
      </c>
      <c r="Q138" s="114">
        <v>13</v>
      </c>
    </row>
    <row r="139" spans="2:17" s="204" customFormat="1">
      <c r="D139" s="191" t="str">
        <f>BS_Hist_TA!$D$60</f>
        <v>Other Equity</v>
      </c>
      <c r="I139" s="236">
        <f ca="1">OFFSET(BS_Hist_TO!$I$60,0,TS_Data_Total_Pers)</f>
        <v>5</v>
      </c>
      <c r="J139" s="114">
        <v>5.0999999999999996</v>
      </c>
      <c r="K139" s="114">
        <v>5.1999999999999993</v>
      </c>
      <c r="L139" s="114">
        <v>5.2999999999999989</v>
      </c>
      <c r="M139" s="114">
        <v>5.3999999999999986</v>
      </c>
      <c r="N139" s="114">
        <v>5.4999999999999982</v>
      </c>
      <c r="O139" s="114">
        <v>5.5999999999999979</v>
      </c>
      <c r="P139" s="114">
        <v>5.6999999999999975</v>
      </c>
      <c r="Q139" s="114">
        <v>5.7999999999999972</v>
      </c>
    </row>
    <row r="140" spans="2:17" s="20" customFormat="1"/>
    <row r="141" spans="2:17" s="20" customFormat="1">
      <c r="D141" s="62" t="s">
        <v>203</v>
      </c>
      <c r="E141" s="169"/>
    </row>
    <row r="142" spans="2:17" s="20" customFormat="1">
      <c r="B142" s="204"/>
      <c r="C142" s="204"/>
      <c r="D142" s="81">
        <v>1</v>
      </c>
      <c r="E142" s="130" t="str">
        <f>"Balance sheet items are specified in "&amp;INDEX(LU_Denom,DD_TS_Denom)&amp;"."</f>
        <v>Balance sheet items are specified in $Millions.</v>
      </c>
      <c r="F142" s="204"/>
    </row>
    <row r="143" spans="2:17" s="20" customFormat="1">
      <c r="D143" s="81">
        <v>2</v>
      </c>
      <c r="E143" s="65" t="s">
        <v>485</v>
      </c>
    </row>
    <row r="144" spans="2:17" s="20" customFormat="1">
      <c r="D144" s="81">
        <v>3</v>
      </c>
      <c r="E144" s="65" t="s">
        <v>486</v>
      </c>
    </row>
    <row r="145" spans="4:5" s="20" customFormat="1">
      <c r="D145" s="81">
        <v>3</v>
      </c>
      <c r="E145" s="65" t="s">
        <v>557</v>
      </c>
    </row>
    <row r="146" spans="4:5" s="20" customFormat="1"/>
    <row r="147" spans="4:5" s="20" customFormat="1"/>
    <row r="148" spans="4:5" s="20" customFormat="1"/>
    <row r="149" spans="4:5" s="20" customFormat="1"/>
    <row r="150" spans="4:5" s="20" customFormat="1"/>
    <row r="151" spans="4:5" s="20" customFormat="1"/>
    <row r="152" spans="4:5" s="20" customFormat="1"/>
    <row r="153" spans="4:5" s="20" customFormat="1"/>
    <row r="154" spans="4:5" s="20" customFormat="1"/>
    <row r="155" spans="4:5" s="20" customFormat="1"/>
    <row r="156" spans="4:5" s="20" customFormat="1"/>
    <row r="157" spans="4:5" s="20" customFormat="1"/>
    <row r="158" spans="4:5" s="20" customFormat="1"/>
    <row r="159" spans="4:5" s="20" customFormat="1"/>
    <row r="160" spans="4:5" s="20" customFormat="1"/>
    <row r="161" s="20" customFormat="1"/>
    <row r="162" s="20" customFormat="1"/>
    <row r="163" s="20" customFormat="1"/>
    <row r="164" s="20" customFormat="1"/>
    <row r="165" s="20" customFormat="1"/>
    <row r="166" s="20" customFormat="1"/>
    <row r="167" s="20" customFormat="1"/>
    <row r="168" s="20" customFormat="1"/>
    <row r="169" s="20" customFormat="1"/>
    <row r="170" s="20" customFormat="1"/>
    <row r="171" s="20" customFormat="1"/>
    <row r="172" s="20" customFormat="1"/>
    <row r="173" s="20" customFormat="1"/>
    <row r="174" s="20" customFormat="1"/>
    <row r="175" s="20" customFormat="1"/>
    <row r="176" s="20" customFormat="1"/>
    <row r="177" s="20" customFormat="1"/>
    <row r="178" s="20" customFormat="1"/>
    <row r="179" s="20" customFormat="1"/>
    <row r="180" s="20" customFormat="1"/>
  </sheetData>
  <mergeCells count="1">
    <mergeCell ref="B3:F3"/>
  </mergeCells>
  <conditionalFormatting sqref="J94:Q94">
    <cfRule type="cellIs" dxfId="79" priority="7" stopIfTrue="1" operator="equal">
      <formula>"Yes"</formula>
    </cfRule>
  </conditionalFormatting>
  <conditionalFormatting sqref="J95:Q95">
    <cfRule type="expression" dxfId="78" priority="2" stopIfTrue="1">
      <formula>OR(DD_Eq_Ord_Div_Meth&lt;&gt;1,J94&lt;&gt;"Yes")</formula>
    </cfRule>
  </conditionalFormatting>
  <conditionalFormatting sqref="J96:Q96">
    <cfRule type="expression" dxfId="77" priority="1" stopIfTrue="1">
      <formula>OR(DD_Eq_Ord_Div_Meth&lt;&gt;2,J94&lt;&gt;"Yes")</formula>
    </cfRule>
  </conditionalFormatting>
  <conditionalFormatting sqref="J18:Q22">
    <cfRule type="expression" dxfId="76" priority="5" stopIfTrue="1">
      <formula>J$12=0</formula>
    </cfRule>
  </conditionalFormatting>
  <conditionalFormatting sqref="J94:Q96 J34:Q34 J39:Q39 J50:Q50 J55:Q55 J65:Q66 J69:Q69 J75:Q76 J84:Q85 J135:Q139">
    <cfRule type="expression" dxfId="75" priority="3" stopIfTrue="1">
      <formula>J$12=0</formula>
    </cfRule>
  </conditionalFormatting>
  <dataValidations xWindow="526" yWindow="766" count="16">
    <dataValidation type="decimal" operator="greaterThanOrEqual" allowBlank="1" showDropDown="1" showErrorMessage="1" errorTitle="Invalid Assumption" error="Assumption must be a value greater than or equal to zero." sqref="I110 I127:I131 I90 I73 I54:I55 I49:I50 J18:Q22 I38 J39:Q39 J34:Q34 I33:I34 I64 I83 I135:I139">
      <formula1>0</formula1>
    </dataValidation>
    <dataValidation type="custom" showErrorMessage="1" errorTitle="Invalid Assumption" error="Assumption must be a number." sqref="J135:Q139">
      <formula1>NOT(ISERROR(J135/1))</formula1>
    </dataValidation>
    <dataValidation type="whole" showDropDown="1" showErrorMessage="1" errorTitle="Drop Down Box Cell Link" error="The value in a drop down box cell link must be a whole number within the control's lookup range rows." sqref="I92">
      <formula1>1</formula1>
      <formula2>ROWS(LU_Eq_Ord_Div_Meth )</formula2>
    </dataValidation>
    <dataValidation type="decimal" showDropDown="1" showErrorMessage="1" errorTitle="Invalid Assumption" error="The Corporate Taxation Rate percentage cannot be less than 0% or greater than 100% in any period." sqref="I114">
      <formula1>0</formula1>
      <formula2>1</formula2>
    </dataValidation>
    <dataValidation type="decimal" allowBlank="1" showDropDown="1" showInputMessage="1" showErrorMessage="1" errorTitle="Invalid Assumption" error="The margin percentage cannot be less than 0% or greater than 100% in any period." promptTitle="Margin" prompt="Represents the margin applicable to the debt drawn on the current debt category for the current period" sqref="J76:Q76">
      <formula1>0</formula1>
      <formula2>1</formula2>
    </dataValidation>
    <dataValidation type="decimal" allowBlank="1" showDropDown="1" showInputMessage="1" showErrorMessage="1" errorTitle="Invalid Assumption" error="The base interest rate percentage cannot be less than 0% or greater than 100% in any period." promptTitle="Base Interest Rate" prompt="Represents the base interest rate applicable to the debt drawn on the current debt category for the current period" sqref="J75:Q75">
      <formula1>0</formula1>
      <formula2>1</formula2>
    </dataValidation>
    <dataValidation type="decimal" showDropDown="1" showErrorMessage="1" errorTitle="Invalid Assumption" error="The &quot;Drawdowns/Repayments % into Period&quot; percentage cannot be less than 0% or greater than 100% in any period." sqref="J69:Q69">
      <formula1>0</formula1>
      <formula2>1</formula2>
    </dataValidation>
    <dataValidation type="decimal" operator="greaterThanOrEqual" allowBlank="1" showDropDown="1" showInputMessage="1" showErrorMessage="1" errorTitle="Invalid Assumption" error="Assumption must be a value greater than or equal to zero." promptTitle="Debt Repayments" prompt="Represents the value of debt repaid during the current period." sqref="J66:Q66">
      <formula1>0</formula1>
    </dataValidation>
    <dataValidation type="decimal" operator="greaterThanOrEqual" allowBlank="1" showDropDown="1" showInputMessage="1" showErrorMessage="1" errorTitle="Invalid Assumption" error="Assumption must be a value greater than or equal to zero." promptTitle="Debt Drawdowns" prompt="Represents the value of debt drawn down during the current period." sqref="J65:Q65">
      <formula1>0</formula1>
    </dataValidation>
    <dataValidation type="decimal" operator="greaterThanOrEqual" allowBlank="1" showDropDown="1" showInputMessage="1" showErrorMessage="1" errorTitle="Invalid Assumption" error="Assumption must be a value greater than or equal to zero." promptTitle="Assumed Dividends" prompt="Represents the value of Dividends Payable as at the end of the current period." sqref="J96:Q96">
      <formula1>0</formula1>
    </dataValidation>
    <dataValidation type="decimal" showDropDown="1" showErrorMessage="1" errorTitle="Invalid Assumption" error="The Dividend Payout Ratio percentage cannot be less than 0% or greater than 100% in any period." sqref="J95:Q95">
      <formula1>0</formula1>
      <formula2>1</formula2>
    </dataValidation>
    <dataValidation type="decimal" operator="greaterThanOrEqual" allowBlank="1" showDropDown="1" showInputMessage="1" showErrorMessage="1" errorTitle="Invalid Assumption" error="Assumption must be a value greater than or equal to zero." promptTitle="Equity Repayments" prompt="Represents the value of equity repaid during the current period." sqref="J85:Q85">
      <formula1>0</formula1>
    </dataValidation>
    <dataValidation type="decimal" operator="greaterThanOrEqual" allowBlank="1" showDropDown="1" showInputMessage="1" showErrorMessage="1" errorTitle="Invalid Assumption" error="Assumption must be a value greater than or equal to zero." promptTitle="Equity Raisings" prompt="Represents the value of equity raised during the current period." sqref="J84:Q84">
      <formula1>0</formula1>
    </dataValidation>
    <dataValidation type="list" showErrorMessage="1" errorTitle="Invalid Assumption" error="A &quot;Yes&quot; Or &quot;No&quot; must be entered for each period indicating whether or not dividends are declared in that period." sqref="J94:Q94">
      <formula1>"Yes,No"</formula1>
    </dataValidation>
    <dataValidation type="custom" showDropDown="1" showErrorMessage="1" errorTitle="Check Box Cell Link" error="The value in an option button cell link must be either &quot;TRUE&quot; or &quot;FALSE&quot;" sqref="E98:E99">
      <formula1>ISLOGICAL(E98)</formula1>
    </dataValidation>
    <dataValidation type="decimal" showDropDown="1" showErrorMessage="1" errorTitle="Invalid Assumption" error="Assumption must be between 0% and 100%." sqref="J50:Q50 J55:Q55">
      <formula1>0</formula1>
      <formula2>1</formula2>
    </dataValidation>
  </dataValidations>
  <hyperlinks>
    <hyperlink ref="B3" location="HL_Home" tooltip="Go to Table of Contents" display="HL_Home"/>
    <hyperlink ref="A4" location="$B$14" tooltip="Go to Top of Sheet" display="$B$14"/>
    <hyperlink ref="B4" location="HL_Sheet_Main_5" tooltip="Go to Previous Sheet" display="HL_Sheet_Main_5"/>
    <hyperlink ref="C4" location="HL_Sheet_Main_16" tooltip="Go to Next Sheet" display="HL_Sheet_Main_1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4" manualBreakCount="4">
    <brk id="44" min="1" max="16" man="1"/>
    <brk id="78" min="1" max="16" man="1"/>
    <brk id="105" min="1" max="16" man="1"/>
    <brk id="122" min="1" max="16" man="1"/>
  </rowBreaks>
  <legacyDrawing r:id="rId2"/>
</worksheet>
</file>

<file path=xl/worksheets/sheet17.xml><?xml version="1.0" encoding="utf-8"?>
<worksheet xmlns="http://schemas.openxmlformats.org/spreadsheetml/2006/main" xmlns:r="http://schemas.openxmlformats.org/officeDocument/2006/relationships">
  <sheetPr codeName="Sheet1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397</v>
      </c>
    </row>
    <row r="10" spans="3:7" ht="16.5">
      <c r="C10" s="27" t="s">
        <v>200</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460</v>
      </c>
    </row>
    <row r="18" spans="3:3">
      <c r="C18" s="26" t="s">
        <v>392</v>
      </c>
    </row>
    <row r="19" spans="3:3">
      <c r="C19" s="26"/>
    </row>
    <row r="20" spans="3:3">
      <c r="C20" s="26"/>
    </row>
  </sheetData>
  <mergeCells count="1">
    <mergeCell ref="C12:G12"/>
  </mergeCells>
  <hyperlinks>
    <hyperlink ref="C12" location="HL_Home" tooltip="Go to Table of Contents" display="HL_Home"/>
    <hyperlink ref="C13" location="HL_Sheet_Main_26" tooltip="Go to Previous Sheet" display="HL_Sheet_Main_26"/>
    <hyperlink ref="D13" location="HL_Sheet_Main_28" tooltip="Go to Next Sheet" display="HL_Sheet_Main_28"/>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18.xml><?xml version="1.0" encoding="utf-8"?>
<worksheet xmlns="http://schemas.openxmlformats.org/spreadsheetml/2006/main" xmlns:r="http://schemas.openxmlformats.org/officeDocument/2006/relationships">
  <sheetPr codeName="Sheet1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534</v>
      </c>
    </row>
    <row r="10" spans="3:7" ht="16.5">
      <c r="C10" s="27" t="s">
        <v>508</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186" t="s">
        <v>535</v>
      </c>
    </row>
    <row r="19" spans="3:3">
      <c r="C19" s="186"/>
    </row>
    <row r="20" spans="3:3">
      <c r="C20" s="186"/>
    </row>
  </sheetData>
  <mergeCells count="1">
    <mergeCell ref="C12:G12"/>
  </mergeCells>
  <hyperlinks>
    <hyperlink ref="C12" location="HL_Home" tooltip="Go to Table of Contents" display="HL_Home"/>
    <hyperlink ref="C13" location="HL_Sheet_Main_16" tooltip="Go to Previous Sheet" display="HL_Sheet_Main_16"/>
    <hyperlink ref="D13" location="HL_Sheet_Main_29" tooltip="Go to Next Sheet" display="HL_Sheet_Main_2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19.xml><?xml version="1.0" encoding="utf-8"?>
<worksheet xmlns="http://schemas.openxmlformats.org/spreadsheetml/2006/main" xmlns:r="http://schemas.openxmlformats.org/officeDocument/2006/relationships">
  <sheetPr codeName="Sheet20">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536</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IS_Hist_TA!B16</f>
        <v>Income Statement</v>
      </c>
    </row>
    <row r="17" spans="3:17" s="24" customFormat="1"/>
    <row r="18" spans="3:17" s="24" customFormat="1">
      <c r="D18" s="185" t="str">
        <f>IS_Hist_TA!D18</f>
        <v>Revenue</v>
      </c>
      <c r="J18" s="219">
        <f>IF(J$12=0,0,IS_Hist_TA!J18)</f>
        <v>125</v>
      </c>
      <c r="K18" s="219">
        <f>IF(K$12=0,0,IS_Hist_TA!K18)</f>
        <v>128.125</v>
      </c>
      <c r="L18" s="219">
        <f>IF(L$12=0,0,IS_Hist_TA!L18)</f>
        <v>131.328125</v>
      </c>
      <c r="M18" s="219">
        <f>IF(M$12=0,0,IS_Hist_TA!M18)</f>
        <v>0</v>
      </c>
      <c r="N18" s="219">
        <f>IF(N$12=0,0,IS_Hist_TA!N18)</f>
        <v>0</v>
      </c>
      <c r="O18" s="219">
        <f>IF(O$12=0,0,IS_Hist_TA!O18)</f>
        <v>0</v>
      </c>
      <c r="P18" s="219">
        <f>IF(P$12=0,0,IS_Hist_TA!P18)</f>
        <v>0</v>
      </c>
      <c r="Q18" s="219">
        <f>IF(Q$12=0,0,IS_Hist_TA!Q18)</f>
        <v>0</v>
      </c>
    </row>
    <row r="19" spans="3:17" s="24" customFormat="1">
      <c r="D19" s="185" t="str">
        <f>IS_Hist_TA!D19</f>
        <v>Cost of Goods Sold</v>
      </c>
      <c r="J19" s="219">
        <f>IF(J$12=0,0,IS_Hist_TA!J19)</f>
        <v>-25</v>
      </c>
      <c r="K19" s="219">
        <f>IF(K$12=0,0,IS_Hist_TA!K19)</f>
        <v>-25.624999999999996</v>
      </c>
      <c r="L19" s="219">
        <f>IF(L$12=0,0,IS_Hist_TA!L19)</f>
        <v>-26.265624999999993</v>
      </c>
      <c r="M19" s="219">
        <f>IF(M$12=0,0,IS_Hist_TA!M19)</f>
        <v>0</v>
      </c>
      <c r="N19" s="219">
        <f>IF(N$12=0,0,IS_Hist_TA!N19)</f>
        <v>0</v>
      </c>
      <c r="O19" s="219">
        <f>IF(O$12=0,0,IS_Hist_TA!O19)</f>
        <v>0</v>
      </c>
      <c r="P19" s="219">
        <f>IF(P$12=0,0,IS_Hist_TA!P19)</f>
        <v>0</v>
      </c>
      <c r="Q19" s="219">
        <f>IF(Q$12=0,0,IS_Hist_TA!Q19)</f>
        <v>0</v>
      </c>
    </row>
    <row r="20" spans="3:17" s="24" customFormat="1">
      <c r="J20" s="143"/>
      <c r="K20" s="143"/>
      <c r="L20" s="143"/>
      <c r="M20" s="143"/>
      <c r="N20" s="143"/>
      <c r="O20" s="143"/>
      <c r="P20" s="143"/>
      <c r="Q20" s="143"/>
    </row>
    <row r="21" spans="3:17" s="24" customFormat="1" ht="11.25">
      <c r="C21" s="216" t="str">
        <f>IS_Hist_TA!C21</f>
        <v>Gross Margin</v>
      </c>
      <c r="J21" s="211">
        <f t="shared" ref="J21" si="8">J18+J19</f>
        <v>100</v>
      </c>
      <c r="K21" s="211">
        <f t="shared" ref="K21:Q21" si="9">K18+K19</f>
        <v>102.5</v>
      </c>
      <c r="L21" s="211">
        <f t="shared" si="9"/>
        <v>105.0625</v>
      </c>
      <c r="M21" s="211">
        <f t="shared" si="9"/>
        <v>0</v>
      </c>
      <c r="N21" s="211">
        <f t="shared" si="9"/>
        <v>0</v>
      </c>
      <c r="O21" s="211">
        <f t="shared" si="9"/>
        <v>0</v>
      </c>
      <c r="P21" s="211">
        <f t="shared" si="9"/>
        <v>0</v>
      </c>
      <c r="Q21" s="211">
        <f t="shared" si="9"/>
        <v>0</v>
      </c>
    </row>
    <row r="22" spans="3:17" s="24" customFormat="1">
      <c r="J22" s="143"/>
      <c r="K22" s="143"/>
      <c r="L22" s="143"/>
      <c r="M22" s="143"/>
      <c r="N22" s="143"/>
      <c r="O22" s="143"/>
      <c r="P22" s="143"/>
      <c r="Q22" s="143"/>
    </row>
    <row r="23" spans="3:17" s="24" customFormat="1">
      <c r="D23" s="185" t="str">
        <f>IS_Hist_TA!D23</f>
        <v>Operating Expenditure</v>
      </c>
      <c r="J23" s="219">
        <f>IF(J$12=0,0,IS_Hist_TA!J23)</f>
        <v>-40</v>
      </c>
      <c r="K23" s="219">
        <f>IF(K$12=0,0,IS_Hist_TA!K23)</f>
        <v>-41</v>
      </c>
      <c r="L23" s="219">
        <f>IF(L$12=0,0,IS_Hist_TA!L23)</f>
        <v>-42.024999999999999</v>
      </c>
      <c r="M23" s="219">
        <f>IF(M$12=0,0,IS_Hist_TA!M23)</f>
        <v>0</v>
      </c>
      <c r="N23" s="219">
        <f>IF(N$12=0,0,IS_Hist_TA!N23)</f>
        <v>0</v>
      </c>
      <c r="O23" s="219">
        <f>IF(O$12=0,0,IS_Hist_TA!O23)</f>
        <v>0</v>
      </c>
      <c r="P23" s="219">
        <f>IF(P$12=0,0,IS_Hist_TA!P23)</f>
        <v>0</v>
      </c>
      <c r="Q23" s="219">
        <f>IF(Q$12=0,0,IS_Hist_TA!Q23)</f>
        <v>0</v>
      </c>
    </row>
    <row r="24" spans="3:17" s="24" customFormat="1">
      <c r="J24" s="143"/>
      <c r="K24" s="143"/>
      <c r="L24" s="143"/>
      <c r="M24" s="143"/>
      <c r="N24" s="143"/>
      <c r="O24" s="143"/>
      <c r="P24" s="143"/>
      <c r="Q24" s="143"/>
    </row>
    <row r="25" spans="3:17" s="24" customFormat="1" ht="11.25">
      <c r="C25" s="216" t="str">
        <f>IS_Hist_TA!C25</f>
        <v>EBITDA</v>
      </c>
      <c r="J25" s="211">
        <f t="shared" ref="J25" si="10">J21+J23</f>
        <v>60</v>
      </c>
      <c r="K25" s="211">
        <f t="shared" ref="K25:Q25" si="11">K21+K23</f>
        <v>61.5</v>
      </c>
      <c r="L25" s="211">
        <f t="shared" si="11"/>
        <v>63.037500000000001</v>
      </c>
      <c r="M25" s="211">
        <f t="shared" si="11"/>
        <v>0</v>
      </c>
      <c r="N25" s="211">
        <f t="shared" si="11"/>
        <v>0</v>
      </c>
      <c r="O25" s="211">
        <f t="shared" si="11"/>
        <v>0</v>
      </c>
      <c r="P25" s="211">
        <f t="shared" si="11"/>
        <v>0</v>
      </c>
      <c r="Q25" s="211">
        <f t="shared" si="11"/>
        <v>0</v>
      </c>
    </row>
    <row r="26" spans="3:17" s="24" customFormat="1">
      <c r="J26" s="143"/>
      <c r="K26" s="143"/>
      <c r="L26" s="143"/>
      <c r="M26" s="143"/>
      <c r="N26" s="143"/>
      <c r="O26" s="143"/>
      <c r="P26" s="143"/>
      <c r="Q26" s="143"/>
    </row>
    <row r="27" spans="3:17" s="24" customFormat="1" hidden="1" outlineLevel="2">
      <c r="E27" s="185"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185"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185" t="str">
        <f>IS_Hist_TA!D29</f>
        <v>Depreciation &amp; Amortization</v>
      </c>
      <c r="J29" s="219">
        <f>IF(J$12=0,0,IS_Hist_TA!J29)</f>
        <v>-14.125</v>
      </c>
      <c r="K29" s="219">
        <f>IF(K$12=0,0,IS_Hist_TA!K29)</f>
        <v>-14.478124999999999</v>
      </c>
      <c r="L29" s="219">
        <f>IF(L$12=0,0,IS_Hist_TA!L29)</f>
        <v>-14.840078124999996</v>
      </c>
      <c r="M29" s="219">
        <f>IF(M$12=0,0,IS_Hist_TA!M29)</f>
        <v>0</v>
      </c>
      <c r="N29" s="219">
        <f>IF(N$12=0,0,IS_Hist_TA!N29)</f>
        <v>0</v>
      </c>
      <c r="O29" s="219">
        <f>IF(O$12=0,0,IS_Hist_TA!O29)</f>
        <v>0</v>
      </c>
      <c r="P29" s="219">
        <f>IF(P$12=0,0,IS_Hist_TA!P29)</f>
        <v>0</v>
      </c>
      <c r="Q29" s="219">
        <f>IF(Q$12=0,0,IS_Hist_TA!Q29)</f>
        <v>0</v>
      </c>
    </row>
    <row r="30" spans="3:17" s="24" customFormat="1">
      <c r="J30" s="143"/>
      <c r="K30" s="143"/>
      <c r="L30" s="143"/>
      <c r="M30" s="143"/>
      <c r="N30" s="143"/>
      <c r="O30" s="143"/>
      <c r="P30" s="143"/>
      <c r="Q30" s="143"/>
    </row>
    <row r="31" spans="3:17" s="24" customFormat="1" ht="11.25">
      <c r="C31" s="216" t="str">
        <f>IS_Hist_TA!C31</f>
        <v>EBIT</v>
      </c>
      <c r="J31" s="211">
        <f t="shared" ref="J31" si="12">J25+J29</f>
        <v>45.875</v>
      </c>
      <c r="K31" s="211">
        <f t="shared" ref="K31:Q31" si="13">K25+K29</f>
        <v>47.021875000000001</v>
      </c>
      <c r="L31" s="211">
        <f t="shared" si="13"/>
        <v>48.197421875000003</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c r="D33" s="185" t="str">
        <f>IS_Hist_TA!D33</f>
        <v>Interest Expense</v>
      </c>
      <c r="J33" s="219">
        <f>IF(J$12=0,0,IS_Hist_TA!J33)</f>
        <v>-3.25</v>
      </c>
      <c r="K33" s="219">
        <f>IF(K$12=0,0,IS_Hist_TA!K33)</f>
        <v>-3.25</v>
      </c>
      <c r="L33" s="219">
        <f>IF(L$12=0,0,IS_Hist_TA!L33)</f>
        <v>-3.25</v>
      </c>
      <c r="M33" s="219">
        <f>IF(M$12=0,0,IS_Hist_TA!M33)</f>
        <v>0</v>
      </c>
      <c r="N33" s="219">
        <f>IF(N$12=0,0,IS_Hist_TA!N33)</f>
        <v>0</v>
      </c>
      <c r="O33" s="219">
        <f>IF(O$12=0,0,IS_Hist_TA!O33)</f>
        <v>0</v>
      </c>
      <c r="P33" s="219">
        <f>IF(P$12=0,0,IS_Hist_TA!P33)</f>
        <v>0</v>
      </c>
      <c r="Q33" s="219">
        <f>IF(Q$12=0,0,IS_Hist_TA!Q33)</f>
        <v>0</v>
      </c>
    </row>
    <row r="34" spans="3:17" s="24" customFormat="1">
      <c r="J34" s="143"/>
      <c r="K34" s="143"/>
      <c r="L34" s="143"/>
      <c r="M34" s="143"/>
      <c r="N34" s="143"/>
      <c r="O34" s="143"/>
      <c r="P34" s="143"/>
      <c r="Q34" s="143"/>
    </row>
    <row r="35" spans="3:17" s="24" customFormat="1" ht="11.25">
      <c r="C35" s="216" t="str">
        <f>IS_Hist_TA!C35</f>
        <v>Net Profit Before Tax</v>
      </c>
      <c r="J35" s="211">
        <f t="shared" ref="J35" si="14">J31+J33</f>
        <v>42.625</v>
      </c>
      <c r="K35" s="211">
        <f t="shared" ref="K35:Q35" si="15">K31+K33</f>
        <v>43.771875000000001</v>
      </c>
      <c r="L35" s="211">
        <f t="shared" si="15"/>
        <v>44.947421875000003</v>
      </c>
      <c r="M35" s="211">
        <f t="shared" si="15"/>
        <v>0</v>
      </c>
      <c r="N35" s="211">
        <f t="shared" si="15"/>
        <v>0</v>
      </c>
      <c r="O35" s="211">
        <f t="shared" si="15"/>
        <v>0</v>
      </c>
      <c r="P35" s="211">
        <f t="shared" si="15"/>
        <v>0</v>
      </c>
      <c r="Q35" s="211">
        <f t="shared" si="15"/>
        <v>0</v>
      </c>
    </row>
    <row r="36" spans="3:17" s="24" customFormat="1">
      <c r="J36" s="143"/>
      <c r="K36" s="143"/>
      <c r="L36" s="143"/>
      <c r="M36" s="143"/>
      <c r="N36" s="143"/>
      <c r="O36" s="143"/>
      <c r="P36" s="143"/>
      <c r="Q36" s="143"/>
    </row>
    <row r="37" spans="3:17" s="24" customFormat="1">
      <c r="D37" s="185" t="str">
        <f>IS_Hist_TA!D37</f>
        <v>Tax Expense / (Benefit)</v>
      </c>
      <c r="J37" s="219">
        <f>IF(J$12=0,0,IS_Hist_TA!J37)</f>
        <v>-12.7875</v>
      </c>
      <c r="K37" s="219">
        <f>IF(K$12=0,0,IS_Hist_TA!K37)</f>
        <v>-13.131562499999999</v>
      </c>
      <c r="L37" s="219">
        <f>IF(L$12=0,0,IS_Hist_TA!L37)</f>
        <v>-13.4842265625</v>
      </c>
      <c r="M37" s="219">
        <f>IF(M$12=0,0,IS_Hist_TA!M37)</f>
        <v>0</v>
      </c>
      <c r="N37" s="219">
        <f>IF(N$12=0,0,IS_Hist_TA!N37)</f>
        <v>0</v>
      </c>
      <c r="O37" s="219">
        <f>IF(O$12=0,0,IS_Hist_TA!O37)</f>
        <v>0</v>
      </c>
      <c r="P37" s="219">
        <f>IF(P$12=0,0,IS_Hist_TA!P37)</f>
        <v>0</v>
      </c>
      <c r="Q37" s="219">
        <f>IF(Q$12=0,0,IS_Hist_TA!Q37)</f>
        <v>0</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 si="16">J35+J37</f>
        <v>29.837499999999999</v>
      </c>
      <c r="K39" s="213">
        <f t="shared" ref="K39:Q39" si="17">K35+K37</f>
        <v>30.6403125</v>
      </c>
      <c r="L39" s="213">
        <f t="shared" si="17"/>
        <v>31.463195312500005</v>
      </c>
      <c r="M39" s="213">
        <f t="shared" si="17"/>
        <v>0</v>
      </c>
      <c r="N39" s="213">
        <f t="shared" si="17"/>
        <v>0</v>
      </c>
      <c r="O39" s="213">
        <f t="shared" si="17"/>
        <v>0</v>
      </c>
      <c r="P39" s="213">
        <f t="shared" si="17"/>
        <v>0</v>
      </c>
      <c r="Q39" s="213">
        <f t="shared" si="17"/>
        <v>0</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184" t="s">
        <v>539</v>
      </c>
    </row>
  </sheetData>
  <mergeCells count="1">
    <mergeCell ref="B3:F3"/>
  </mergeCells>
  <conditionalFormatting sqref="J18:Q39">
    <cfRule type="expression" dxfId="74" priority="2" stopIfTrue="1">
      <formula>J$12=0</formula>
    </cfRule>
  </conditionalFormatting>
  <dataValidations count="1">
    <dataValidation type="custom" showErrorMessage="1" errorTitle="Invalid Assumption" error="Assumption must be a number." sqref="J33:Q33 J23:Q23 J27:Q29 J18:Q19 J37:Q37">
      <formula1>NOT(ISERROR(J18/1))</formula1>
    </dataValidation>
  </dataValidations>
  <hyperlinks>
    <hyperlink ref="B3" location="HL_Home" tooltip="Go to Table of Contents" display="HL_Home"/>
    <hyperlink ref="A4" location="$B$14" tooltip="Go to Top of Sheet" display="$B$14"/>
    <hyperlink ref="B4" location="HL_Sheet_Main_28" tooltip="Go to Previous Sheet" display="HL_Sheet_Main_28"/>
    <hyperlink ref="C4" location="HL_Sheet_Main_30" tooltip="Go to Next Sheet" display="HL_Sheet_Main_3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xml><?xml version="1.0" encoding="utf-8"?>
<worksheet xmlns="http://schemas.openxmlformats.org/spreadsheetml/2006/main" xmlns:r="http://schemas.openxmlformats.org/officeDocument/2006/relationships">
  <sheetPr codeName="Sheet2">
    <pageSetUpPr autoPageBreaks="0"/>
  </sheetPr>
  <dimension ref="A1:Q64"/>
  <sheetViews>
    <sheetView showGridLines="0" zoomScaleNormal="100" workbookViewId="0">
      <pane xSplit="1" ySplit="6" topLeftCell="B7"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1"/>
  <cols>
    <col min="1" max="2" width="3.83203125" customWidth="1"/>
    <col min="3" max="3" width="0" hidden="1" customWidth="1"/>
    <col min="4" max="4" width="5.1640625" customWidth="1"/>
    <col min="5" max="5" width="0" hidden="1" customWidth="1"/>
    <col min="6" max="6" width="2.83203125" customWidth="1"/>
    <col min="7" max="7" width="0" hidden="1" customWidth="1"/>
    <col min="8" max="8" width="1.83203125" customWidth="1"/>
    <col min="17" max="17" width="9.1640625" customWidth="1"/>
  </cols>
  <sheetData>
    <row r="1" spans="1:17" ht="18">
      <c r="B1" s="1" t="s">
        <v>49</v>
      </c>
    </row>
    <row r="2" spans="1:17" ht="15">
      <c r="B2" s="2" t="str">
        <f ca="1">Model_Name</f>
        <v>SMA 5. Assumption Entry Interfaces - Best Practice Model Example</v>
      </c>
    </row>
    <row r="3" spans="1:17">
      <c r="B3" s="272" t="s">
        <v>50</v>
      </c>
      <c r="C3" s="272"/>
      <c r="D3" s="272"/>
      <c r="E3" s="272"/>
      <c r="F3" s="272"/>
      <c r="G3" s="272"/>
      <c r="H3" s="272"/>
      <c r="I3" s="272"/>
      <c r="J3" s="264"/>
    </row>
    <row r="6" spans="1:17" s="21" customFormat="1" ht="12.75">
      <c r="A6" s="105" t="s">
        <v>51</v>
      </c>
      <c r="B6" s="252" t="s">
        <v>52</v>
      </c>
      <c r="C6" s="17"/>
      <c r="D6" s="17"/>
      <c r="E6" s="17"/>
      <c r="F6" s="17"/>
      <c r="G6" s="17"/>
      <c r="H6" s="17"/>
      <c r="I6" s="17"/>
      <c r="J6" s="17"/>
      <c r="K6" s="17"/>
      <c r="L6" s="17"/>
      <c r="M6" s="17"/>
      <c r="N6" s="17"/>
      <c r="O6" s="17"/>
      <c r="P6" s="17"/>
      <c r="Q6" s="253" t="s">
        <v>568</v>
      </c>
    </row>
    <row r="8" spans="1:17" ht="19.149999999999999" customHeight="1">
      <c r="B8" s="276">
        <v>1</v>
      </c>
      <c r="C8" s="276"/>
      <c r="D8" s="277" t="str">
        <f>Overview_SC!C9</f>
        <v>Overview</v>
      </c>
      <c r="E8" s="277"/>
      <c r="F8" s="277"/>
      <c r="G8" s="277"/>
      <c r="H8" s="277"/>
      <c r="I8" s="277"/>
      <c r="J8" s="277"/>
      <c r="K8" s="277"/>
      <c r="L8" s="277"/>
      <c r="M8" s="277"/>
      <c r="N8" s="277"/>
      <c r="O8" s="277"/>
      <c r="P8" s="277"/>
      <c r="Q8" s="254">
        <v>4</v>
      </c>
    </row>
    <row r="9" spans="1:17" ht="11.25">
      <c r="D9" s="280" t="s">
        <v>193</v>
      </c>
      <c r="E9" s="280"/>
      <c r="F9" s="278" t="str">
        <f>Notes_SSC!C9</f>
        <v>Notes</v>
      </c>
      <c r="G9" s="278"/>
      <c r="H9" s="278"/>
      <c r="I9" s="278"/>
      <c r="J9" s="278"/>
      <c r="K9" s="278"/>
      <c r="L9" s="278"/>
      <c r="M9" s="278"/>
      <c r="N9" s="278"/>
      <c r="O9" s="278"/>
      <c r="P9" s="278"/>
      <c r="Q9" s="255">
        <v>5</v>
      </c>
    </row>
    <row r="10" spans="1:17" outlineLevel="1">
      <c r="F10" s="274" t="s">
        <v>194</v>
      </c>
      <c r="G10" s="274"/>
      <c r="H10" s="275" t="str">
        <f>Notes_BO!B1</f>
        <v>Model Notes</v>
      </c>
      <c r="I10" s="275"/>
      <c r="J10" s="275"/>
      <c r="K10" s="275"/>
      <c r="L10" s="275"/>
      <c r="M10" s="275"/>
      <c r="N10" s="275"/>
      <c r="O10" s="275"/>
      <c r="P10" s="275"/>
      <c r="Q10" s="256">
        <v>6</v>
      </c>
    </row>
    <row r="11" spans="1:17" ht="11.25">
      <c r="D11" s="280" t="s">
        <v>198</v>
      </c>
      <c r="E11" s="280"/>
      <c r="F11" s="278" t="str">
        <f>Keys_SSC!C9</f>
        <v>Keys</v>
      </c>
      <c r="G11" s="278"/>
      <c r="H11" s="278"/>
      <c r="I11" s="278"/>
      <c r="J11" s="278"/>
      <c r="K11" s="278"/>
      <c r="L11" s="278"/>
      <c r="M11" s="278"/>
      <c r="N11" s="278"/>
      <c r="O11" s="278"/>
      <c r="P11" s="278"/>
      <c r="Q11" s="255">
        <v>7</v>
      </c>
    </row>
    <row r="12" spans="1:17" outlineLevel="1">
      <c r="F12" s="274" t="s">
        <v>194</v>
      </c>
      <c r="G12" s="274"/>
      <c r="H12" s="275" t="str">
        <f>Keys_BO!B1</f>
        <v>Keys</v>
      </c>
      <c r="I12" s="275"/>
      <c r="J12" s="275"/>
      <c r="K12" s="275"/>
      <c r="L12" s="275"/>
      <c r="M12" s="275"/>
      <c r="N12" s="275"/>
      <c r="O12" s="275"/>
      <c r="P12" s="275"/>
      <c r="Q12" s="256">
        <v>8</v>
      </c>
    </row>
    <row r="13" spans="1:17" outlineLevel="1">
      <c r="H13" s="104" t="s">
        <v>202</v>
      </c>
      <c r="I13" s="279" t="str">
        <f>TOC_Hdg_1</f>
        <v>Formats &amp; Styles Key</v>
      </c>
      <c r="J13" s="279"/>
      <c r="K13" s="279"/>
      <c r="L13" s="279"/>
      <c r="M13" s="279"/>
      <c r="N13" s="279"/>
      <c r="O13" s="279"/>
      <c r="P13" s="279"/>
      <c r="Q13" s="104" t="s">
        <v>202</v>
      </c>
    </row>
    <row r="14" spans="1:17" outlineLevel="1">
      <c r="H14" s="104" t="s">
        <v>202</v>
      </c>
      <c r="I14" s="279" t="str">
        <f>TOC_Hdg_2</f>
        <v>Sheet Naming Key</v>
      </c>
      <c r="J14" s="279"/>
      <c r="K14" s="279"/>
      <c r="L14" s="279"/>
      <c r="M14" s="279"/>
      <c r="N14" s="279"/>
      <c r="O14" s="279"/>
      <c r="P14" s="279"/>
      <c r="Q14" s="104" t="s">
        <v>202</v>
      </c>
    </row>
    <row r="15" spans="1:17" outlineLevel="1">
      <c r="H15" s="104" t="s">
        <v>202</v>
      </c>
      <c r="I15" s="279" t="str">
        <f>TOC_Hdg_3</f>
        <v>Range Naming Key</v>
      </c>
      <c r="J15" s="279"/>
      <c r="K15" s="279"/>
      <c r="L15" s="279"/>
      <c r="M15" s="279"/>
      <c r="N15" s="279"/>
      <c r="O15" s="279"/>
      <c r="P15" s="279"/>
      <c r="Q15" s="104" t="s">
        <v>202</v>
      </c>
    </row>
    <row r="16" spans="1:17" ht="19.149999999999999" customHeight="1">
      <c r="B16" s="276">
        <v>2</v>
      </c>
      <c r="C16" s="276"/>
      <c r="D16" s="277" t="str">
        <f>Assumptions_SC!C9</f>
        <v>Assumptions</v>
      </c>
      <c r="E16" s="277"/>
      <c r="F16" s="277"/>
      <c r="G16" s="277"/>
      <c r="H16" s="277"/>
      <c r="I16" s="277"/>
      <c r="J16" s="277"/>
      <c r="K16" s="277"/>
      <c r="L16" s="277"/>
      <c r="M16" s="277"/>
      <c r="N16" s="277"/>
      <c r="O16" s="277"/>
      <c r="P16" s="277"/>
      <c r="Q16" s="254">
        <v>11</v>
      </c>
    </row>
    <row r="17" spans="2:17" ht="11.25">
      <c r="D17" s="280" t="s">
        <v>505</v>
      </c>
      <c r="E17" s="280"/>
      <c r="F17" s="278" t="str">
        <f>TS_Ass_SSC!C9</f>
        <v>Time Series Assumptions</v>
      </c>
      <c r="G17" s="278"/>
      <c r="H17" s="278"/>
      <c r="I17" s="278"/>
      <c r="J17" s="278"/>
      <c r="K17" s="278"/>
      <c r="L17" s="278"/>
      <c r="M17" s="278"/>
      <c r="N17" s="278"/>
      <c r="O17" s="278"/>
      <c r="P17" s="278"/>
      <c r="Q17" s="255">
        <v>12</v>
      </c>
    </row>
    <row r="18" spans="2:17" outlineLevel="1">
      <c r="F18" s="274" t="s">
        <v>194</v>
      </c>
      <c r="G18" s="274"/>
      <c r="H18" s="275" t="str">
        <f>TS_BA!B1</f>
        <v>Time Series Assumptions</v>
      </c>
      <c r="I18" s="275"/>
      <c r="J18" s="275"/>
      <c r="K18" s="275"/>
      <c r="L18" s="275"/>
      <c r="M18" s="275"/>
      <c r="N18" s="275"/>
      <c r="O18" s="275"/>
      <c r="P18" s="275"/>
      <c r="Q18" s="256">
        <v>13</v>
      </c>
    </row>
    <row r="19" spans="2:17" ht="11.25">
      <c r="D19" s="280" t="s">
        <v>507</v>
      </c>
      <c r="E19" s="280"/>
      <c r="F19" s="278" t="str">
        <f>Hist_Ass_SSC!C9</f>
        <v>Historical Assumptions</v>
      </c>
      <c r="G19" s="278"/>
      <c r="H19" s="278"/>
      <c r="I19" s="278"/>
      <c r="J19" s="278"/>
      <c r="K19" s="278"/>
      <c r="L19" s="278"/>
      <c r="M19" s="278"/>
      <c r="N19" s="278"/>
      <c r="O19" s="278"/>
      <c r="P19" s="278"/>
      <c r="Q19" s="255">
        <v>14</v>
      </c>
    </row>
    <row r="20" spans="2:17" outlineLevel="1">
      <c r="F20" s="274" t="s">
        <v>194</v>
      </c>
      <c r="G20" s="274"/>
      <c r="H20" s="275" t="str">
        <f>IS_Hist_TA!B1</f>
        <v>Income Statement - Historical Assumptions</v>
      </c>
      <c r="I20" s="275"/>
      <c r="J20" s="275"/>
      <c r="K20" s="275"/>
      <c r="L20" s="275"/>
      <c r="M20" s="275"/>
      <c r="N20" s="275"/>
      <c r="O20" s="275"/>
      <c r="P20" s="275"/>
      <c r="Q20" s="256">
        <v>15</v>
      </c>
    </row>
    <row r="21" spans="2:17" outlineLevel="1">
      <c r="F21" s="274" t="s">
        <v>195</v>
      </c>
      <c r="G21" s="274"/>
      <c r="H21" s="275" t="str">
        <f>BS_Hist_TA!B1</f>
        <v>Balance Sheet - Historical Assumptions</v>
      </c>
      <c r="I21" s="275"/>
      <c r="J21" s="275"/>
      <c r="K21" s="275"/>
      <c r="L21" s="275"/>
      <c r="M21" s="275"/>
      <c r="N21" s="275"/>
      <c r="O21" s="275"/>
      <c r="P21" s="275"/>
      <c r="Q21" s="256">
        <v>16</v>
      </c>
    </row>
    <row r="22" spans="2:17" outlineLevel="1">
      <c r="F22" s="274" t="s">
        <v>196</v>
      </c>
      <c r="G22" s="274"/>
      <c r="H22" s="275" t="str">
        <f>CFS_Hist_TA!B1</f>
        <v>Cash Flow Statement - Historical Assumptions</v>
      </c>
      <c r="I22" s="275"/>
      <c r="J22" s="275"/>
      <c r="K22" s="275"/>
      <c r="L22" s="275"/>
      <c r="M22" s="275"/>
      <c r="N22" s="275"/>
      <c r="O22" s="275"/>
      <c r="P22" s="275"/>
      <c r="Q22" s="256">
        <v>18</v>
      </c>
    </row>
    <row r="23" spans="2:17" ht="11.25">
      <c r="D23" s="280" t="s">
        <v>523</v>
      </c>
      <c r="E23" s="280"/>
      <c r="F23" s="278" t="str">
        <f>Fcast_Ass_SSC!C9</f>
        <v>Forecast Assumptions</v>
      </c>
      <c r="G23" s="278"/>
      <c r="H23" s="278"/>
      <c r="I23" s="278"/>
      <c r="J23" s="278"/>
      <c r="K23" s="278"/>
      <c r="L23" s="278"/>
      <c r="M23" s="278"/>
      <c r="N23" s="278"/>
      <c r="O23" s="278"/>
      <c r="P23" s="278"/>
      <c r="Q23" s="255">
        <v>20</v>
      </c>
    </row>
    <row r="24" spans="2:17" outlineLevel="1">
      <c r="F24" s="274" t="s">
        <v>194</v>
      </c>
      <c r="G24" s="274"/>
      <c r="H24" s="275" t="str">
        <f>Fcast_TA!B1</f>
        <v>Forecast Assumptions</v>
      </c>
      <c r="I24" s="275"/>
      <c r="J24" s="275"/>
      <c r="K24" s="275"/>
      <c r="L24" s="275"/>
      <c r="M24" s="275"/>
      <c r="N24" s="275"/>
      <c r="O24" s="275"/>
      <c r="P24" s="275"/>
      <c r="Q24" s="256">
        <v>21</v>
      </c>
    </row>
    <row r="25" spans="2:17" outlineLevel="1">
      <c r="H25" s="104" t="s">
        <v>202</v>
      </c>
      <c r="I25" s="279" t="str">
        <f>TOC_Hdg_5</f>
        <v>Operational - Assumptions</v>
      </c>
      <c r="J25" s="279"/>
      <c r="K25" s="279"/>
      <c r="L25" s="279"/>
      <c r="M25" s="279"/>
      <c r="N25" s="279"/>
      <c r="O25" s="279"/>
      <c r="P25" s="279"/>
      <c r="Q25" s="104" t="s">
        <v>202</v>
      </c>
    </row>
    <row r="26" spans="2:17" outlineLevel="1">
      <c r="H26" s="104" t="s">
        <v>202</v>
      </c>
      <c r="I26" s="279" t="str">
        <f>TOC_Hdg_9</f>
        <v>Working Capital - Assumptions</v>
      </c>
      <c r="J26" s="279"/>
      <c r="K26" s="279"/>
      <c r="L26" s="279"/>
      <c r="M26" s="279"/>
      <c r="N26" s="279"/>
      <c r="O26" s="279"/>
      <c r="P26" s="279"/>
      <c r="Q26" s="104" t="s">
        <v>202</v>
      </c>
    </row>
    <row r="27" spans="2:17" outlineLevel="1">
      <c r="H27" s="104" t="s">
        <v>202</v>
      </c>
      <c r="I27" s="279" t="str">
        <f>TOC_Hdg_10</f>
        <v>Assets - Assumptions</v>
      </c>
      <c r="J27" s="279"/>
      <c r="K27" s="279"/>
      <c r="L27" s="279"/>
      <c r="M27" s="279"/>
      <c r="N27" s="279"/>
      <c r="O27" s="279"/>
      <c r="P27" s="279"/>
      <c r="Q27" s="104" t="s">
        <v>202</v>
      </c>
    </row>
    <row r="28" spans="2:17" outlineLevel="1">
      <c r="H28" s="104" t="s">
        <v>202</v>
      </c>
      <c r="I28" s="279" t="str">
        <f>TOC_Hdg_11</f>
        <v>Capital - Assumptions</v>
      </c>
      <c r="J28" s="279"/>
      <c r="K28" s="279"/>
      <c r="L28" s="279"/>
      <c r="M28" s="279"/>
      <c r="N28" s="279"/>
      <c r="O28" s="279"/>
      <c r="P28" s="279"/>
      <c r="Q28" s="104" t="s">
        <v>202</v>
      </c>
    </row>
    <row r="29" spans="2:17" outlineLevel="1">
      <c r="H29" s="104" t="s">
        <v>202</v>
      </c>
      <c r="I29" s="279" t="str">
        <f>TOC_Hdg_12</f>
        <v>Taxation - Assumptions</v>
      </c>
      <c r="J29" s="279"/>
      <c r="K29" s="279"/>
      <c r="L29" s="279"/>
      <c r="M29" s="279"/>
      <c r="N29" s="279"/>
      <c r="O29" s="279"/>
      <c r="P29" s="279"/>
      <c r="Q29" s="104" t="s">
        <v>202</v>
      </c>
    </row>
    <row r="30" spans="2:17" outlineLevel="1">
      <c r="H30" s="104" t="s">
        <v>202</v>
      </c>
      <c r="I30" s="279" t="str">
        <f>TOC_Hdg_13</f>
        <v>Other Balance Sheet Items - Assumptions</v>
      </c>
      <c r="J30" s="279"/>
      <c r="K30" s="279"/>
      <c r="L30" s="279"/>
      <c r="M30" s="279"/>
      <c r="N30" s="279"/>
      <c r="O30" s="279"/>
      <c r="P30" s="279"/>
      <c r="Q30" s="104" t="s">
        <v>202</v>
      </c>
    </row>
    <row r="31" spans="2:17" ht="19.149999999999999" customHeight="1">
      <c r="B31" s="276">
        <v>3</v>
      </c>
      <c r="C31" s="276"/>
      <c r="D31" s="277" t="str">
        <f>Outputs_SC!C9</f>
        <v>Outputs</v>
      </c>
      <c r="E31" s="277"/>
      <c r="F31" s="277"/>
      <c r="G31" s="277"/>
      <c r="H31" s="277"/>
      <c r="I31" s="277"/>
      <c r="J31" s="277"/>
      <c r="K31" s="277"/>
      <c r="L31" s="277"/>
      <c r="M31" s="277"/>
      <c r="N31" s="277"/>
      <c r="O31" s="277"/>
      <c r="P31" s="277"/>
      <c r="Q31" s="254">
        <v>26</v>
      </c>
    </row>
    <row r="32" spans="2:17" ht="11.25">
      <c r="D32" s="280" t="s">
        <v>509</v>
      </c>
      <c r="E32" s="280"/>
      <c r="F32" s="278" t="str">
        <f>Hist_OP_SSC!C9</f>
        <v>Historical Outputs</v>
      </c>
      <c r="G32" s="278"/>
      <c r="H32" s="278"/>
      <c r="I32" s="278"/>
      <c r="J32" s="278"/>
      <c r="K32" s="278"/>
      <c r="L32" s="278"/>
      <c r="M32" s="278"/>
      <c r="N32" s="278"/>
      <c r="O32" s="278"/>
      <c r="P32" s="278"/>
      <c r="Q32" s="255">
        <v>27</v>
      </c>
    </row>
    <row r="33" spans="4:17" outlineLevel="1">
      <c r="F33" s="274" t="s">
        <v>194</v>
      </c>
      <c r="G33" s="274"/>
      <c r="H33" s="275" t="str">
        <f>IS_Hist_TO!B1</f>
        <v>Income Statement - Historical Outputs</v>
      </c>
      <c r="I33" s="275"/>
      <c r="J33" s="275"/>
      <c r="K33" s="275"/>
      <c r="L33" s="275"/>
      <c r="M33" s="275"/>
      <c r="N33" s="275"/>
      <c r="O33" s="275"/>
      <c r="P33" s="275"/>
      <c r="Q33" s="256">
        <v>28</v>
      </c>
    </row>
    <row r="34" spans="4:17" outlineLevel="1">
      <c r="F34" s="274" t="s">
        <v>195</v>
      </c>
      <c r="G34" s="274"/>
      <c r="H34" s="275" t="str">
        <f>BS_Hist_TO!B1</f>
        <v>Balance Sheet - Historical Outputs</v>
      </c>
      <c r="I34" s="275"/>
      <c r="J34" s="275"/>
      <c r="K34" s="275"/>
      <c r="L34" s="275"/>
      <c r="M34" s="275"/>
      <c r="N34" s="275"/>
      <c r="O34" s="275"/>
      <c r="P34" s="275"/>
      <c r="Q34" s="256">
        <v>29</v>
      </c>
    </row>
    <row r="35" spans="4:17" outlineLevel="1">
      <c r="F35" s="274" t="s">
        <v>196</v>
      </c>
      <c r="G35" s="274"/>
      <c r="H35" s="275" t="str">
        <f>CFS_Hist_TO!B1</f>
        <v>Cash Flow Statement - Historical Outputs</v>
      </c>
      <c r="I35" s="275"/>
      <c r="J35" s="275"/>
      <c r="K35" s="275"/>
      <c r="L35" s="275"/>
      <c r="M35" s="275"/>
      <c r="N35" s="275"/>
      <c r="O35" s="275"/>
      <c r="P35" s="275"/>
      <c r="Q35" s="256">
        <v>31</v>
      </c>
    </row>
    <row r="36" spans="4:17" ht="11.25">
      <c r="D36" s="280" t="s">
        <v>511</v>
      </c>
      <c r="E36" s="280"/>
      <c r="F36" s="278" t="str">
        <f>Fcast_OP_SSC!C9</f>
        <v>Forecast Outputs</v>
      </c>
      <c r="G36" s="278"/>
      <c r="H36" s="278"/>
      <c r="I36" s="278"/>
      <c r="J36" s="278"/>
      <c r="K36" s="278"/>
      <c r="L36" s="278"/>
      <c r="M36" s="278"/>
      <c r="N36" s="278"/>
      <c r="O36" s="278"/>
      <c r="P36" s="278"/>
      <c r="Q36" s="255">
        <v>33</v>
      </c>
    </row>
    <row r="37" spans="4:17" outlineLevel="1">
      <c r="F37" s="274" t="s">
        <v>194</v>
      </c>
      <c r="G37" s="274"/>
      <c r="H37" s="275" t="str">
        <f>Fcast_OP_TO!B1</f>
        <v>Forecast Outputs</v>
      </c>
      <c r="I37" s="275"/>
      <c r="J37" s="275"/>
      <c r="K37" s="275"/>
      <c r="L37" s="275"/>
      <c r="M37" s="275"/>
      <c r="N37" s="275"/>
      <c r="O37" s="275"/>
      <c r="P37" s="275"/>
      <c r="Q37" s="256">
        <v>34</v>
      </c>
    </row>
    <row r="38" spans="4:17" outlineLevel="1">
      <c r="H38" s="104" t="s">
        <v>202</v>
      </c>
      <c r="I38" s="279" t="str">
        <f>TOC_Hdg_21</f>
        <v>Operational - Outputs</v>
      </c>
      <c r="J38" s="279"/>
      <c r="K38" s="279"/>
      <c r="L38" s="279"/>
      <c r="M38" s="279"/>
      <c r="N38" s="279"/>
      <c r="O38" s="279"/>
      <c r="P38" s="279"/>
      <c r="Q38" s="104" t="s">
        <v>202</v>
      </c>
    </row>
    <row r="39" spans="4:17" outlineLevel="1">
      <c r="H39" s="104" t="s">
        <v>202</v>
      </c>
      <c r="I39" s="279" t="str">
        <f>TOC_Hdg_24</f>
        <v>Working Capital - Outputs</v>
      </c>
      <c r="J39" s="279"/>
      <c r="K39" s="279"/>
      <c r="L39" s="279"/>
      <c r="M39" s="279"/>
      <c r="N39" s="279"/>
      <c r="O39" s="279"/>
      <c r="P39" s="279"/>
      <c r="Q39" s="104" t="s">
        <v>202</v>
      </c>
    </row>
    <row r="40" spans="4:17" outlineLevel="1">
      <c r="H40" s="104" t="s">
        <v>202</v>
      </c>
      <c r="I40" s="279" t="str">
        <f>TOC_Hdg_17</f>
        <v>Assets - Outputs</v>
      </c>
      <c r="J40" s="279"/>
      <c r="K40" s="279"/>
      <c r="L40" s="279"/>
      <c r="M40" s="279"/>
      <c r="N40" s="279"/>
      <c r="O40" s="279"/>
      <c r="P40" s="279"/>
      <c r="Q40" s="104" t="s">
        <v>202</v>
      </c>
    </row>
    <row r="41" spans="4:17" outlineLevel="1">
      <c r="H41" s="104" t="s">
        <v>202</v>
      </c>
      <c r="I41" s="279" t="str">
        <f>TOC_Hdg_15</f>
        <v>Capital - Outputs</v>
      </c>
      <c r="J41" s="279"/>
      <c r="K41" s="279"/>
      <c r="L41" s="279"/>
      <c r="M41" s="279"/>
      <c r="N41" s="279"/>
      <c r="O41" s="279"/>
      <c r="P41" s="279"/>
      <c r="Q41" s="104" t="s">
        <v>202</v>
      </c>
    </row>
    <row r="42" spans="4:17" outlineLevel="1">
      <c r="H42" s="104" t="s">
        <v>202</v>
      </c>
      <c r="I42" s="279" t="str">
        <f>TOC_Hdg_32</f>
        <v>Taxation - Output Summary</v>
      </c>
      <c r="J42" s="279"/>
      <c r="K42" s="279"/>
      <c r="L42" s="279"/>
      <c r="M42" s="279"/>
      <c r="N42" s="279"/>
      <c r="O42" s="279"/>
      <c r="P42" s="279"/>
      <c r="Q42" s="104" t="s">
        <v>202</v>
      </c>
    </row>
    <row r="43" spans="4:17" outlineLevel="1">
      <c r="H43" s="104" t="s">
        <v>202</v>
      </c>
      <c r="I43" s="279" t="str">
        <f>TOC_Hdg_16</f>
        <v>Other Balance Sheet Items - Outputs</v>
      </c>
      <c r="J43" s="279"/>
      <c r="K43" s="279"/>
      <c r="L43" s="279"/>
      <c r="M43" s="279"/>
      <c r="N43" s="279"/>
      <c r="O43" s="279"/>
      <c r="P43" s="279"/>
      <c r="Q43" s="104" t="s">
        <v>202</v>
      </c>
    </row>
    <row r="44" spans="4:17" outlineLevel="1">
      <c r="F44" s="274" t="s">
        <v>195</v>
      </c>
      <c r="G44" s="274"/>
      <c r="H44" s="275" t="str">
        <f>IS_Fcast_TO!B1</f>
        <v>Income Statement - Forecast Outputs</v>
      </c>
      <c r="I44" s="275"/>
      <c r="J44" s="275"/>
      <c r="K44" s="275"/>
      <c r="L44" s="275"/>
      <c r="M44" s="275"/>
      <c r="N44" s="275"/>
      <c r="O44" s="275"/>
      <c r="P44" s="275"/>
      <c r="Q44" s="256">
        <v>41</v>
      </c>
    </row>
    <row r="45" spans="4:17" outlineLevel="1">
      <c r="F45" s="274" t="s">
        <v>196</v>
      </c>
      <c r="G45" s="274"/>
      <c r="H45" s="275" t="str">
        <f>BS_Fcast_TO!B1</f>
        <v>Balance Sheet - Forecast Outputs</v>
      </c>
      <c r="I45" s="275"/>
      <c r="J45" s="275"/>
      <c r="K45" s="275"/>
      <c r="L45" s="275"/>
      <c r="M45" s="275"/>
      <c r="N45" s="275"/>
      <c r="O45" s="275"/>
      <c r="P45" s="275"/>
      <c r="Q45" s="256">
        <v>42</v>
      </c>
    </row>
    <row r="46" spans="4:17" outlineLevel="1">
      <c r="F46" s="274" t="s">
        <v>550</v>
      </c>
      <c r="G46" s="274"/>
      <c r="H46" s="275" t="str">
        <f>CFS_Fcast_TO!B1</f>
        <v>Cash Flow Statement - Forecast Outputs</v>
      </c>
      <c r="I46" s="275"/>
      <c r="J46" s="275"/>
      <c r="K46" s="275"/>
      <c r="L46" s="275"/>
      <c r="M46" s="275"/>
      <c r="N46" s="275"/>
      <c r="O46" s="275"/>
      <c r="P46" s="275"/>
      <c r="Q46" s="256">
        <v>44</v>
      </c>
    </row>
    <row r="47" spans="4:17" ht="11.25">
      <c r="D47" s="280" t="s">
        <v>513</v>
      </c>
      <c r="E47" s="280"/>
      <c r="F47" s="278" t="str">
        <f>All_Pers_OP_SSC!C9</f>
        <v>All Periods Outputs</v>
      </c>
      <c r="G47" s="278"/>
      <c r="H47" s="278"/>
      <c r="I47" s="278"/>
      <c r="J47" s="278"/>
      <c r="K47" s="278"/>
      <c r="L47" s="278"/>
      <c r="M47" s="278"/>
      <c r="N47" s="278"/>
      <c r="O47" s="278"/>
      <c r="P47" s="278"/>
      <c r="Q47" s="255">
        <v>48</v>
      </c>
    </row>
    <row r="48" spans="4:17" outlineLevel="1">
      <c r="F48" s="274" t="s">
        <v>194</v>
      </c>
      <c r="G48" s="274"/>
      <c r="H48" s="275" t="str">
        <f>IS_All_TO!B1</f>
        <v>Income Statement - All Periods Outputs</v>
      </c>
      <c r="I48" s="275"/>
      <c r="J48" s="275"/>
      <c r="K48" s="275"/>
      <c r="L48" s="275"/>
      <c r="M48" s="275"/>
      <c r="N48" s="275"/>
      <c r="O48" s="275"/>
      <c r="P48" s="275"/>
      <c r="Q48" s="256">
        <v>49</v>
      </c>
    </row>
    <row r="49" spans="2:17" outlineLevel="1">
      <c r="F49" s="274" t="s">
        <v>195</v>
      </c>
      <c r="G49" s="274"/>
      <c r="H49" s="275" t="str">
        <f>BS_All_TO!B1</f>
        <v>Balance Sheet - All Periods Outputs</v>
      </c>
      <c r="I49" s="275"/>
      <c r="J49" s="275"/>
      <c r="K49" s="275"/>
      <c r="L49" s="275"/>
      <c r="M49" s="275"/>
      <c r="N49" s="275"/>
      <c r="O49" s="275"/>
      <c r="P49" s="275"/>
      <c r="Q49" s="256">
        <v>50</v>
      </c>
    </row>
    <row r="50" spans="2:17" outlineLevel="1">
      <c r="F50" s="274" t="s">
        <v>196</v>
      </c>
      <c r="G50" s="274"/>
      <c r="H50" s="275" t="str">
        <f>CFS_All_TO!B1</f>
        <v>Cash Flow Statement - All Periods Outputs</v>
      </c>
      <c r="I50" s="275"/>
      <c r="J50" s="275"/>
      <c r="K50" s="275"/>
      <c r="L50" s="275"/>
      <c r="M50" s="275"/>
      <c r="N50" s="275"/>
      <c r="O50" s="275"/>
      <c r="P50" s="275"/>
      <c r="Q50" s="256">
        <v>52</v>
      </c>
    </row>
    <row r="51" spans="2:17" ht="11.25">
      <c r="D51" s="280" t="s">
        <v>547</v>
      </c>
      <c r="E51" s="280"/>
      <c r="F51" s="278" t="str">
        <f>Dashboards_SSC!C9</f>
        <v>Dashboard Outputs</v>
      </c>
      <c r="G51" s="278"/>
      <c r="H51" s="278"/>
      <c r="I51" s="278"/>
      <c r="J51" s="278"/>
      <c r="K51" s="278"/>
      <c r="L51" s="278"/>
      <c r="M51" s="278"/>
      <c r="N51" s="278"/>
      <c r="O51" s="278"/>
      <c r="P51" s="278"/>
      <c r="Q51" s="255">
        <v>54</v>
      </c>
    </row>
    <row r="52" spans="2:17" outlineLevel="1">
      <c r="F52" s="274" t="s">
        <v>194</v>
      </c>
      <c r="G52" s="274"/>
      <c r="H52" s="275" t="str">
        <f>BS_Sum_P_MS!B1</f>
        <v>Business Planning Summary</v>
      </c>
      <c r="I52" s="275"/>
      <c r="J52" s="275"/>
      <c r="K52" s="275"/>
      <c r="L52" s="275"/>
      <c r="M52" s="275"/>
      <c r="N52" s="275"/>
      <c r="O52" s="275"/>
      <c r="P52" s="275"/>
      <c r="Q52" s="256">
        <v>55</v>
      </c>
    </row>
    <row r="53" spans="2:17" ht="19.149999999999999" customHeight="1">
      <c r="B53" s="276">
        <v>4</v>
      </c>
      <c r="C53" s="276"/>
      <c r="D53" s="277" t="str">
        <f>Appendices_SC!C9</f>
        <v>Appendices</v>
      </c>
      <c r="E53" s="277"/>
      <c r="F53" s="277"/>
      <c r="G53" s="277"/>
      <c r="H53" s="277"/>
      <c r="I53" s="277"/>
      <c r="J53" s="277"/>
      <c r="K53" s="277"/>
      <c r="L53" s="277"/>
      <c r="M53" s="277"/>
      <c r="N53" s="277"/>
      <c r="O53" s="277"/>
      <c r="P53" s="277"/>
      <c r="Q53" s="254">
        <v>56</v>
      </c>
    </row>
    <row r="54" spans="2:17" ht="11.25">
      <c r="D54" s="280" t="s">
        <v>515</v>
      </c>
      <c r="E54" s="280"/>
      <c r="F54" s="278" t="str">
        <f>Checks_SSC!C9</f>
        <v>Checks</v>
      </c>
      <c r="G54" s="278"/>
      <c r="H54" s="278"/>
      <c r="I54" s="278"/>
      <c r="J54" s="278"/>
      <c r="K54" s="278"/>
      <c r="L54" s="278"/>
      <c r="M54" s="278"/>
      <c r="N54" s="278"/>
      <c r="O54" s="278"/>
      <c r="P54" s="278"/>
      <c r="Q54" s="255">
        <v>57</v>
      </c>
    </row>
    <row r="55" spans="2:17" outlineLevel="1">
      <c r="F55" s="274" t="s">
        <v>194</v>
      </c>
      <c r="G55" s="274"/>
      <c r="H55" s="275" t="str">
        <f>Checks_BO!B1</f>
        <v>Checks</v>
      </c>
      <c r="I55" s="275"/>
      <c r="J55" s="275"/>
      <c r="K55" s="275"/>
      <c r="L55" s="275"/>
      <c r="M55" s="275"/>
      <c r="N55" s="275"/>
      <c r="O55" s="275"/>
      <c r="P55" s="275"/>
      <c r="Q55" s="256">
        <v>58</v>
      </c>
    </row>
    <row r="56" spans="2:17" outlineLevel="1">
      <c r="H56" s="104" t="s">
        <v>202</v>
      </c>
      <c r="I56" s="279" t="str">
        <f>TOC_Hdg_6</f>
        <v>Error Checks</v>
      </c>
      <c r="J56" s="279"/>
      <c r="K56" s="279"/>
      <c r="L56" s="279"/>
      <c r="M56" s="279"/>
      <c r="N56" s="279"/>
      <c r="O56" s="279"/>
      <c r="P56" s="279"/>
      <c r="Q56" s="104" t="s">
        <v>202</v>
      </c>
    </row>
    <row r="57" spans="2:17" outlineLevel="1">
      <c r="H57" s="104" t="s">
        <v>202</v>
      </c>
      <c r="I57" s="279" t="str">
        <f>TOC_Hdg_7</f>
        <v>Sensitivity Checks</v>
      </c>
      <c r="J57" s="279"/>
      <c r="K57" s="279"/>
      <c r="L57" s="279"/>
      <c r="M57" s="279"/>
      <c r="N57" s="279"/>
      <c r="O57" s="279"/>
      <c r="P57" s="279"/>
      <c r="Q57" s="104" t="s">
        <v>202</v>
      </c>
    </row>
    <row r="58" spans="2:17" outlineLevel="1">
      <c r="H58" s="104" t="s">
        <v>202</v>
      </c>
      <c r="I58" s="279" t="str">
        <f>TOC_Hdg_8</f>
        <v>Alert Checks</v>
      </c>
      <c r="J58" s="279"/>
      <c r="K58" s="279"/>
      <c r="L58" s="279"/>
      <c r="M58" s="279"/>
      <c r="N58" s="279"/>
      <c r="O58" s="279"/>
      <c r="P58" s="279"/>
      <c r="Q58" s="104" t="s">
        <v>202</v>
      </c>
    </row>
    <row r="59" spans="2:17" ht="11.25">
      <c r="D59" s="280" t="s">
        <v>517</v>
      </c>
      <c r="E59" s="280"/>
      <c r="F59" s="278" t="str">
        <f>LU_SSC!C9</f>
        <v>Lookup Tables</v>
      </c>
      <c r="G59" s="278"/>
      <c r="H59" s="278"/>
      <c r="I59" s="278"/>
      <c r="J59" s="278"/>
      <c r="K59" s="278"/>
      <c r="L59" s="278"/>
      <c r="M59" s="278"/>
      <c r="N59" s="278"/>
      <c r="O59" s="278"/>
      <c r="P59" s="278"/>
      <c r="Q59" s="255">
        <v>61</v>
      </c>
    </row>
    <row r="60" spans="2:17" outlineLevel="1">
      <c r="F60" s="274" t="s">
        <v>194</v>
      </c>
      <c r="G60" s="274"/>
      <c r="H60" s="275" t="str">
        <f>TS_LU!B1</f>
        <v>Time Series Lookup Tables</v>
      </c>
      <c r="I60" s="275"/>
      <c r="J60" s="275"/>
      <c r="K60" s="275"/>
      <c r="L60" s="275"/>
      <c r="M60" s="275"/>
      <c r="N60" s="275"/>
      <c r="O60" s="275"/>
      <c r="P60" s="275"/>
      <c r="Q60" s="256">
        <v>62</v>
      </c>
    </row>
    <row r="61" spans="2:17" outlineLevel="1">
      <c r="F61" s="274" t="s">
        <v>195</v>
      </c>
      <c r="G61" s="274"/>
      <c r="H61" s="275" t="str">
        <f>Capital_LU!B1</f>
        <v>Capital - Lookup Tables</v>
      </c>
      <c r="I61" s="275"/>
      <c r="J61" s="275"/>
      <c r="K61" s="275"/>
      <c r="L61" s="275"/>
      <c r="M61" s="275"/>
      <c r="N61" s="275"/>
      <c r="O61" s="275"/>
      <c r="P61" s="275"/>
      <c r="Q61" s="256">
        <v>65</v>
      </c>
    </row>
    <row r="62" spans="2:17" outlineLevel="1">
      <c r="F62" s="274" t="s">
        <v>196</v>
      </c>
      <c r="G62" s="274"/>
      <c r="H62" s="275" t="str">
        <f>Dashboards_LU!B1</f>
        <v>Dashboards - Lookup Tables</v>
      </c>
      <c r="I62" s="275"/>
      <c r="J62" s="275"/>
      <c r="K62" s="275"/>
      <c r="L62" s="275"/>
      <c r="M62" s="275"/>
      <c r="N62" s="275"/>
      <c r="O62" s="275"/>
      <c r="P62" s="275"/>
      <c r="Q62" s="256">
        <v>66</v>
      </c>
    </row>
    <row r="64" spans="2:17" ht="16.899999999999999" customHeight="1">
      <c r="B64" s="33" t="s">
        <v>569</v>
      </c>
      <c r="Q64" s="257">
        <v>66</v>
      </c>
    </row>
  </sheetData>
  <mergeCells count="93">
    <mergeCell ref="F10:G10"/>
    <mergeCell ref="H10:P10"/>
    <mergeCell ref="D11:E11"/>
    <mergeCell ref="I13:P13"/>
    <mergeCell ref="I14:P14"/>
    <mergeCell ref="B8:C8"/>
    <mergeCell ref="D8:P8"/>
    <mergeCell ref="D9:E9"/>
    <mergeCell ref="F9:P9"/>
    <mergeCell ref="B53:C53"/>
    <mergeCell ref="D53:P53"/>
    <mergeCell ref="D36:E36"/>
    <mergeCell ref="F36:P36"/>
    <mergeCell ref="F37:G37"/>
    <mergeCell ref="H37:P37"/>
    <mergeCell ref="F49:G49"/>
    <mergeCell ref="H49:P49"/>
    <mergeCell ref="I38:P38"/>
    <mergeCell ref="I39:P39"/>
    <mergeCell ref="I40:P40"/>
    <mergeCell ref="F46:G46"/>
    <mergeCell ref="I56:P56"/>
    <mergeCell ref="I57:P57"/>
    <mergeCell ref="I58:P58"/>
    <mergeCell ref="D59:E59"/>
    <mergeCell ref="F59:P59"/>
    <mergeCell ref="D54:E54"/>
    <mergeCell ref="F54:P54"/>
    <mergeCell ref="F55:G55"/>
    <mergeCell ref="H55:P55"/>
    <mergeCell ref="I41:P41"/>
    <mergeCell ref="F52:G52"/>
    <mergeCell ref="H52:P52"/>
    <mergeCell ref="D51:E51"/>
    <mergeCell ref="F51:P51"/>
    <mergeCell ref="I42:P42"/>
    <mergeCell ref="F48:G48"/>
    <mergeCell ref="H48:P48"/>
    <mergeCell ref="F50:G50"/>
    <mergeCell ref="H50:P50"/>
    <mergeCell ref="I43:P43"/>
    <mergeCell ref="F47:P47"/>
    <mergeCell ref="D47:E47"/>
    <mergeCell ref="F33:G33"/>
    <mergeCell ref="H33:P33"/>
    <mergeCell ref="F34:G34"/>
    <mergeCell ref="H34:P34"/>
    <mergeCell ref="F35:G35"/>
    <mergeCell ref="H35:P35"/>
    <mergeCell ref="H46:P46"/>
    <mergeCell ref="F44:G44"/>
    <mergeCell ref="H44:P44"/>
    <mergeCell ref="F45:G45"/>
    <mergeCell ref="H45:P45"/>
    <mergeCell ref="I29:P29"/>
    <mergeCell ref="I30:P30"/>
    <mergeCell ref="B31:C31"/>
    <mergeCell ref="D31:P31"/>
    <mergeCell ref="D32:E32"/>
    <mergeCell ref="F32:P32"/>
    <mergeCell ref="D23:E23"/>
    <mergeCell ref="F23:P23"/>
    <mergeCell ref="F24:G24"/>
    <mergeCell ref="H24:P24"/>
    <mergeCell ref="I28:P28"/>
    <mergeCell ref="I26:P26"/>
    <mergeCell ref="I27:P27"/>
    <mergeCell ref="F22:G22"/>
    <mergeCell ref="H22:P22"/>
    <mergeCell ref="D17:E17"/>
    <mergeCell ref="F17:P17"/>
    <mergeCell ref="D19:E19"/>
    <mergeCell ref="F19:P19"/>
    <mergeCell ref="F20:G20"/>
    <mergeCell ref="H20:P20"/>
    <mergeCell ref="F18:G18"/>
    <mergeCell ref="H18:P18"/>
    <mergeCell ref="F62:G62"/>
    <mergeCell ref="H62:P62"/>
    <mergeCell ref="B3:I3"/>
    <mergeCell ref="F60:G60"/>
    <mergeCell ref="H60:P60"/>
    <mergeCell ref="F61:G61"/>
    <mergeCell ref="H61:P61"/>
    <mergeCell ref="B16:C16"/>
    <mergeCell ref="D16:P16"/>
    <mergeCell ref="F11:P11"/>
    <mergeCell ref="F12:G12"/>
    <mergeCell ref="H12:P12"/>
    <mergeCell ref="I15:P15"/>
    <mergeCell ref="F21:G21"/>
    <mergeCell ref="H21:P21"/>
    <mergeCell ref="I25:P25"/>
  </mergeCells>
  <hyperlinks>
    <hyperlink ref="B8" location="HL_Sheet_Main_2" tooltip="Go to Overview" display="HL_Sheet_Main_2"/>
    <hyperlink ref="D8" location="HL_Sheet_Main_2" tooltip="Go to Overview" display="HL_Sheet_Main_2"/>
    <hyperlink ref="Q8" location="HL_Sheet_Main_2" tooltip="Go to Overview" display="HL_Sheet_Main_2"/>
    <hyperlink ref="D9" location="HL_Sheet_Main_3" tooltip="Go to Notes" display="HL_Sheet_Main_3"/>
    <hyperlink ref="F9" location="HL_Sheet_Main_3" tooltip="Go to Notes" display="HL_Sheet_Main_3"/>
    <hyperlink ref="Q9" location="HL_Sheet_Main_3" tooltip="Go to Notes" display="HL_Sheet_Main_3"/>
    <hyperlink ref="F10" location="HL_Sheet_Main" tooltip="Go to Model Notes" display="HL_Sheet_Main"/>
    <hyperlink ref="H10" location="HL_Sheet_Main" tooltip="Go to Model Notes" display="HL_Sheet_Main"/>
    <hyperlink ref="Q10" location="HL_Sheet_Main" tooltip="Go to Model Notes" display="HL_Sheet_Main"/>
    <hyperlink ref="D11" location="HL_Sheet_Main_6" tooltip="Go to Keys" display="HL_Sheet_Main_6"/>
    <hyperlink ref="F11" location="HL_Sheet_Main_6" tooltip="Go to Keys" display="HL_Sheet_Main_6"/>
    <hyperlink ref="Q11" location="HL_Sheet_Main_6" tooltip="Go to Keys" display="HL_Sheet_Main_6"/>
    <hyperlink ref="F12" location="HL_Sheet_Main_7" tooltip="Go to Keys" display="HL_Sheet_Main_7"/>
    <hyperlink ref="H12" location="HL_Sheet_Main_7" tooltip="Go to Keys" display="HL_Sheet_Main_7"/>
    <hyperlink ref="Q12" location="HL_Sheet_Main_7" tooltip="Go to Keys" display="HL_Sheet_Main_7"/>
    <hyperlink ref="H13" location="HL_TOC_1" tooltip="Go to Formats &amp; Styles Key" display="HL_TOC_1"/>
    <hyperlink ref="I13" location="HL_TOC_1" tooltip="Go to Formats &amp; Styles Key" display="HL_TOC_1"/>
    <hyperlink ref="Q13" location="HL_TOC_1" tooltip="Go to Formats &amp; Styles Key" display="HL_TOC_1"/>
    <hyperlink ref="H14" location="HL_TOC_2" tooltip="Go to Sheet Naming Key" display="HL_TOC_2"/>
    <hyperlink ref="I14" location="HL_TOC_2" tooltip="Go to Sheet Naming Key" display="HL_TOC_2"/>
    <hyperlink ref="Q14" location="HL_TOC_2" tooltip="Go to Sheet Naming Key" display="HL_TOC_2"/>
    <hyperlink ref="H15" location="HL_TOC_3" tooltip="Go to Range Naming Key" display="HL_TOC_3"/>
    <hyperlink ref="I15" location="HL_TOC_3" tooltip="Go to Range Naming Key" display="HL_TOC_3"/>
    <hyperlink ref="Q15" location="HL_TOC_3" tooltip="Go to Range Naming Key" display="HL_TOC_3"/>
    <hyperlink ref="B16" location="HL_Sheet_Main_11" tooltip="Go to Assumptions" display="HL_Sheet_Main_11"/>
    <hyperlink ref="D16" location="HL_Sheet_Main_11" tooltip="Go to Assumptions" display="HL_Sheet_Main_11"/>
    <hyperlink ref="Q16" location="HL_Sheet_Main_11" tooltip="Go to Assumptions" display="HL_Sheet_Main_11"/>
    <hyperlink ref="D17" location="HL_Sheet_Main_4" tooltip="Go to Time Series Assumptions" display="HL_Sheet_Main_4"/>
    <hyperlink ref="F17" location="HL_Sheet_Main_4" tooltip="Go to Time Series Assumptions" display="HL_Sheet_Main_4"/>
    <hyperlink ref="Q17" location="HL_Sheet_Main_4" tooltip="Go to Time Series Assumptions" display="HL_Sheet_Main_4"/>
    <hyperlink ref="F18" location="HL_Sheet_Main_10" tooltip="Go to Time Series Assumptions" display="HL_Sheet_Main_10"/>
    <hyperlink ref="H18" location="HL_Sheet_Main_10" tooltip="Go to Time Series Assumptions" display="HL_Sheet_Main_10"/>
    <hyperlink ref="Q18" location="HL_Sheet_Main_10" tooltip="Go to Time Series Assumptions" display="HL_Sheet_Main_10"/>
    <hyperlink ref="D19" location="HL_Sheet_Main_8" tooltip="Go to Historical Assumptions" display="HL_Sheet_Main_8"/>
    <hyperlink ref="F19" location="HL_Sheet_Main_8" tooltip="Go to Historical Assumptions" display="HL_Sheet_Main_8"/>
    <hyperlink ref="Q19" location="HL_Sheet_Main_8" tooltip="Go to Historical Assumptions" display="HL_Sheet_Main_8"/>
    <hyperlink ref="F20" location="HL_Sheet_Main_21" tooltip="Go to Income Statement - Historical Assumptions" display="HL_Sheet_Main_21"/>
    <hyperlink ref="H20" location="HL_Sheet_Main_21" tooltip="Go to Income Statement - Historical Assumptions" display="HL_Sheet_Main_21"/>
    <hyperlink ref="Q20" location="HL_Sheet_Main_21" tooltip="Go to Income Statement - Historical Assumptions" display="HL_Sheet_Main_21"/>
    <hyperlink ref="F21" location="HL_Sheet_Main_22" tooltip="Go to Balance Sheet - Historical Assumptions" display="HL_Sheet_Main_22"/>
    <hyperlink ref="H21" location="HL_Sheet_Main_22" tooltip="Go to Balance Sheet - Historical Assumptions" display="HL_Sheet_Main_22"/>
    <hyperlink ref="Q21" location="HL_Sheet_Main_22" tooltip="Go to Balance Sheet - Historical Assumptions" display="HL_Sheet_Main_22"/>
    <hyperlink ref="F22" location="HL_Sheet_Main_23" tooltip="Go to Cash Flow Statement - Historical Assumptions" display="HL_Sheet_Main_23"/>
    <hyperlink ref="H22" location="HL_Sheet_Main_23" tooltip="Go to Cash Flow Statement - Historical Assumptions" display="HL_Sheet_Main_23"/>
    <hyperlink ref="Q22" location="HL_Sheet_Main_23" tooltip="Go to Cash Flow Statement - Historical Assumptions" display="HL_Sheet_Main_23"/>
    <hyperlink ref="D23" location="HL_Sheet_Main_5" tooltip="Go to Forecast Assumptions" display="HL_Sheet_Main_5"/>
    <hyperlink ref="F23" location="HL_Sheet_Main_5" tooltip="Go to Forecast Assumptions" display="HL_Sheet_Main_5"/>
    <hyperlink ref="Q23" location="HL_Sheet_Main_5" tooltip="Go to Forecast Assumptions" display="HL_Sheet_Main_5"/>
    <hyperlink ref="F24" location="HL_Sheet_Main_26" tooltip="Go to Forecast Assumptions" display="HL_Sheet_Main_26"/>
    <hyperlink ref="H24" location="HL_Sheet_Main_26" tooltip="Go to Forecast Assumptions" display="HL_Sheet_Main_26"/>
    <hyperlink ref="Q24" location="HL_Sheet_Main_26" tooltip="Go to Forecast Assumptions" display="HL_Sheet_Main_26"/>
    <hyperlink ref="H25" location="HL_TOC_5" tooltip="Go to Operational - Assumptions" display="HL_TOC_5"/>
    <hyperlink ref="I25" location="HL_TOC_5" tooltip="Go to Operational - Assumptions" display="HL_TOC_5"/>
    <hyperlink ref="Q25" location="HL_TOC_5" tooltip="Go to Operational - Assumptions" display="HL_TOC_5"/>
    <hyperlink ref="H26" location="HL_TOC_9" tooltip="Go to Working Capital - Assumptions" display="HL_TOC_9"/>
    <hyperlink ref="I26" location="HL_TOC_9" tooltip="Go to Working Capital - Assumptions" display="HL_TOC_9"/>
    <hyperlink ref="Q26" location="HL_TOC_9" tooltip="Go to Working Capital - Assumptions" display="HL_TOC_9"/>
    <hyperlink ref="H27" location="HL_TOC_10" tooltip="Go to Assets - Assumptions" display="HL_TOC_10"/>
    <hyperlink ref="I27" location="HL_TOC_10" tooltip="Go to Assets - Assumptions" display="HL_TOC_10"/>
    <hyperlink ref="Q27" location="HL_TOC_10" tooltip="Go to Assets - Assumptions" display="HL_TOC_10"/>
    <hyperlink ref="H28" location="HL_TOC_11" tooltip="Go to Capital - Assumptions" display="HL_TOC_11"/>
    <hyperlink ref="I28" location="HL_TOC_11" tooltip="Go to Capital - Assumptions" display="HL_TOC_11"/>
    <hyperlink ref="Q28" location="HL_TOC_11" tooltip="Go to Capital - Assumptions" display="HL_TOC_11"/>
    <hyperlink ref="H29" location="HL_TOC_12" tooltip="Go to Taxation - Assumptions" display="HL_TOC_12"/>
    <hyperlink ref="I29" location="HL_TOC_12" tooltip="Go to Taxation - Assumptions" display="HL_TOC_12"/>
    <hyperlink ref="Q29" location="HL_TOC_12" tooltip="Go to Taxation - Assumptions" display="HL_TOC_12"/>
    <hyperlink ref="H30" location="HL_TOC_13" tooltip="Go to Other Balance Sheet Items - Assumptions" display="HL_TOC_13"/>
    <hyperlink ref="I30" location="HL_TOC_13" tooltip="Go to Other Balance Sheet Items - Assumptions" display="HL_TOC_13"/>
    <hyperlink ref="Q30" location="HL_TOC_13" tooltip="Go to Other Balance Sheet Items - Assumptions" display="HL_TOC_13"/>
    <hyperlink ref="B31" location="HL_Sheet_Main_16" tooltip="Go to Outputs" display="HL_Sheet_Main_16"/>
    <hyperlink ref="D31" location="HL_Sheet_Main_16" tooltip="Go to Outputs" display="HL_Sheet_Main_16"/>
    <hyperlink ref="Q31" location="HL_Sheet_Main_16" tooltip="Go to Outputs" display="HL_Sheet_Main_16"/>
    <hyperlink ref="D32" location="HL_Sheet_Main_28" tooltip="Go to Historical Outputs" display="HL_Sheet_Main_28"/>
    <hyperlink ref="F32" location="HL_Sheet_Main_28" tooltip="Go to Historical Outputs" display="HL_Sheet_Main_28"/>
    <hyperlink ref="Q32" location="HL_Sheet_Main_28" tooltip="Go to Historical Outputs" display="HL_Sheet_Main_28"/>
    <hyperlink ref="F33" location="HL_Sheet_Main_29" tooltip="Go to Income Statement - Historical Outputs" display="HL_Sheet_Main_29"/>
    <hyperlink ref="H33" location="HL_Sheet_Main_29" tooltip="Go to Income Statement - Historical Outputs" display="HL_Sheet_Main_29"/>
    <hyperlink ref="Q33" location="HL_Sheet_Main_29" tooltip="Go to Income Statement - Historical Outputs" display="HL_Sheet_Main_29"/>
    <hyperlink ref="F34" location="HL_Sheet_Main_30" tooltip="Go to Balance Sheet - Historical Outputs" display="HL_Sheet_Main_30"/>
    <hyperlink ref="H34" location="HL_Sheet_Main_30" tooltip="Go to Balance Sheet - Historical Outputs" display="HL_Sheet_Main_30"/>
    <hyperlink ref="Q34" location="HL_Sheet_Main_30" tooltip="Go to Balance Sheet - Historical Outputs" display="HL_Sheet_Main_30"/>
    <hyperlink ref="F35" location="HL_Sheet_Main_31" tooltip="Go to Cash Flow Statement - Historical Outputs" display="HL_Sheet_Main_31"/>
    <hyperlink ref="H35" location="HL_Sheet_Main_31" tooltip="Go to Cash Flow Statement - Historical Outputs" display="HL_Sheet_Main_31"/>
    <hyperlink ref="Q35" location="HL_Sheet_Main_31" tooltip="Go to Cash Flow Statement - Historical Outputs" display="HL_Sheet_Main_31"/>
    <hyperlink ref="D36" location="HL_Sheet_Main_15" tooltip="Go to Forecast Outputs" display="HL_Sheet_Main_15"/>
    <hyperlink ref="F36" location="HL_Sheet_Main_15" tooltip="Go to Forecast Outputs" display="HL_Sheet_Main_15"/>
    <hyperlink ref="Q36" location="HL_Sheet_Main_15" tooltip="Go to Forecast Outputs" display="HL_Sheet_Main_15"/>
    <hyperlink ref="F37" location="HL_Sheet_Main_12" tooltip="Go to Forecast Outputs" display="HL_Sheet_Main_12"/>
    <hyperlink ref="H37" location="HL_Sheet_Main_12" tooltip="Go to Forecast Outputs" display="HL_Sheet_Main_12"/>
    <hyperlink ref="Q37" location="HL_Sheet_Main_12" tooltip="Go to Forecast Outputs" display="HL_Sheet_Main_12"/>
    <hyperlink ref="H38" location="HL_TOC_21" tooltip="Go to Operational - Outputs" display="HL_TOC_21"/>
    <hyperlink ref="I38" location="HL_TOC_21" tooltip="Go to Operational - Outputs" display="HL_TOC_21"/>
    <hyperlink ref="Q38" location="HL_TOC_21" tooltip="Go to Operational - Outputs" display="HL_TOC_21"/>
    <hyperlink ref="H39" location="HL_TOC_24" tooltip="Go to Working Capital - Outputs" display="HL_TOC_24"/>
    <hyperlink ref="I39" location="HL_TOC_24" tooltip="Go to Working Capital - Outputs" display="HL_TOC_24"/>
    <hyperlink ref="Q39" location="HL_TOC_24" tooltip="Go to Working Capital - Outputs" display="HL_TOC_24"/>
    <hyperlink ref="H40" location="HL_TOC_17" tooltip="Go to Assets - Outputs" display="HL_TOC_17"/>
    <hyperlink ref="I40" location="HL_TOC_17" tooltip="Go to Assets - Outputs" display="HL_TOC_17"/>
    <hyperlink ref="Q40" location="HL_TOC_17" tooltip="Go to Assets - Outputs" display="HL_TOC_17"/>
    <hyperlink ref="H41" location="HL_TOC_15" tooltip="Go to Capital - Outputs" display="HL_TOC_15"/>
    <hyperlink ref="I41" location="HL_TOC_15" tooltip="Go to Capital - Outputs" display="HL_TOC_15"/>
    <hyperlink ref="Q41" location="HL_TOC_15" tooltip="Go to Capital - Outputs" display="HL_TOC_15"/>
    <hyperlink ref="H42" location="HL_TOC_32" tooltip="Go to Taxation - Output Summary" display="HL_TOC_32"/>
    <hyperlink ref="I42" location="HL_TOC_32" tooltip="Go to Taxation - Output Summary" display="HL_TOC_32"/>
    <hyperlink ref="Q42" location="HL_TOC_32" tooltip="Go to Taxation - Output Summary" display="HL_TOC_32"/>
    <hyperlink ref="H43" location="HL_TOC_16" tooltip="Go to Other Balance Sheet Items - Outputs" display="HL_TOC_16"/>
    <hyperlink ref="I43" location="HL_TOC_16" tooltip="Go to Other Balance Sheet Items - Outputs" display="HL_TOC_16"/>
    <hyperlink ref="Q43" location="HL_TOC_16" tooltip="Go to Other Balance Sheet Items - Outputs" display="HL_TOC_16"/>
    <hyperlink ref="F44" location="HL_Sheet_Main_35" tooltip="Go to Income Statement - Forecast Outputs" display="HL_Sheet_Main_35"/>
    <hyperlink ref="H44" location="HL_Sheet_Main_35" tooltip="Go to Income Statement - Forecast Outputs" display="HL_Sheet_Main_35"/>
    <hyperlink ref="Q44" location="HL_Sheet_Main_35" tooltip="Go to Income Statement - Forecast Outputs" display="HL_Sheet_Main_35"/>
    <hyperlink ref="F45" location="HL_Sheet_Main_36" tooltip="Go to Balance Sheet - Forecast Outputs" display="HL_Sheet_Main_36"/>
    <hyperlink ref="H45" location="HL_Sheet_Main_36" tooltip="Go to Balance Sheet - Forecast Outputs" display="HL_Sheet_Main_36"/>
    <hyperlink ref="Q45" location="HL_Sheet_Main_36" tooltip="Go to Balance Sheet - Forecast Outputs" display="HL_Sheet_Main_36"/>
    <hyperlink ref="F46" location="HL_Sheet_Main_37" tooltip="Go to Cash Flow Statement - Forecast Outputs" display="HL_Sheet_Main_37"/>
    <hyperlink ref="H46" location="HL_Sheet_Main_37" tooltip="Go to Cash Flow Statement - Forecast Outputs" display="HL_Sheet_Main_37"/>
    <hyperlink ref="Q46" location="HL_Sheet_Main_37" tooltip="Go to Cash Flow Statement - Forecast Outputs" display="HL_Sheet_Main_37"/>
    <hyperlink ref="D47" location="HL_Sheet_Main_18" tooltip="Go to All Periods Outputs" display="HL_Sheet_Main_18"/>
    <hyperlink ref="F47" location="HL_Sheet_Main_18" tooltip="Go to All Periods Outputs" display="HL_Sheet_Main_18"/>
    <hyperlink ref="Q47" location="HL_Sheet_Main_18" tooltip="Go to All Periods Outputs" display="HL_Sheet_Main_18"/>
    <hyperlink ref="F48" location="HL_Sheet_Main_17" tooltip="Go to Income Statement - All Periods Outputs" display="HL_Sheet_Main_17"/>
    <hyperlink ref="H48" location="HL_Sheet_Main_17" tooltip="Go to Income Statement - All Periods Outputs" display="HL_Sheet_Main_17"/>
    <hyperlink ref="Q48" location="HL_Sheet_Main_17" tooltip="Go to Income Statement - All Periods Outputs" display="HL_Sheet_Main_17"/>
    <hyperlink ref="F49" location="HL_Sheet_Main_32" tooltip="Go to Balance Sheet - All Periods Outputs" display="HL_Sheet_Main_32"/>
    <hyperlink ref="H49" location="HL_Sheet_Main_32" tooltip="Go to Balance Sheet - All Periods Outputs" display="HL_Sheet_Main_32"/>
    <hyperlink ref="Q49" location="HL_Sheet_Main_32" tooltip="Go to Balance Sheet - All Periods Outputs" display="HL_Sheet_Main_32"/>
    <hyperlink ref="F50" location="HL_Sheet_Main_33" tooltip="Go to Cash Flow Statement - All Periods Outputs" display="HL_Sheet_Main_33"/>
    <hyperlink ref="H50" location="HL_Sheet_Main_33" tooltip="Go to Cash Flow Statement - All Periods Outputs" display="HL_Sheet_Main_33"/>
    <hyperlink ref="Q50" location="HL_Sheet_Main_33" tooltip="Go to Cash Flow Statement - All Periods Outputs" display="HL_Sheet_Main_33"/>
    <hyperlink ref="D51" location="HL_Sheet_Main_20" tooltip="Go to Dashboard Outputs" display="HL_Sheet_Main_20"/>
    <hyperlink ref="F51" location="HL_Sheet_Main_20" tooltip="Go to Dashboard Outputs" display="HL_Sheet_Main_20"/>
    <hyperlink ref="Q51" location="HL_Sheet_Main_20" tooltip="Go to Dashboard Outputs" display="HL_Sheet_Main_20"/>
    <hyperlink ref="F52" location="HL_Sheet_Main_19" tooltip="Go to Business Planning Summary" display="HL_Sheet_Main_19"/>
    <hyperlink ref="H52" location="HL_Sheet_Main_19" tooltip="Go to Business Planning Summary" display="HL_Sheet_Main_19"/>
    <hyperlink ref="Q52" location="HL_Sheet_Main_19" tooltip="Go to Business Planning Summary" display="HL_Sheet_Main_19"/>
    <hyperlink ref="B53" location="HL_Sheet_Main_39" tooltip="Go to Appendices" display="HL_Sheet_Main_39"/>
    <hyperlink ref="D53" location="HL_Sheet_Main_39" tooltip="Go to Appendices" display="HL_Sheet_Main_39"/>
    <hyperlink ref="Q53" location="HL_Sheet_Main_39" tooltip="Go to Appendices" display="HL_Sheet_Main_39"/>
    <hyperlink ref="D54" location="HL_Sheet_Main_13" tooltip="Go to Checks" display="HL_Sheet_Main_13"/>
    <hyperlink ref="F54" location="HL_Sheet_Main_13" tooltip="Go to Checks" display="HL_Sheet_Main_13"/>
    <hyperlink ref="Q54" location="HL_Sheet_Main_13" tooltip="Go to Checks" display="HL_Sheet_Main_13"/>
    <hyperlink ref="F55" location="HL_Sheet_Main_14" tooltip="Go to Checks" display="HL_Sheet_Main_14"/>
    <hyperlink ref="H55" location="HL_Sheet_Main_14" tooltip="Go to Checks" display="HL_Sheet_Main_14"/>
    <hyperlink ref="Q55" location="HL_Sheet_Main_14" tooltip="Go to Checks" display="HL_Sheet_Main_14"/>
    <hyperlink ref="H56" location="HL_TOC_6" tooltip="Go to Error Checks" display="HL_TOC_6"/>
    <hyperlink ref="I56" location="HL_TOC_6" tooltip="Go to Error Checks" display="HL_TOC_6"/>
    <hyperlink ref="Q56" location="HL_TOC_6" tooltip="Go to Error Checks" display="HL_TOC_6"/>
    <hyperlink ref="H57" location="HL_TOC_7" tooltip="Go to Sensitivity Checks" display="HL_TOC_7"/>
    <hyperlink ref="I57" location="HL_TOC_7" tooltip="Go to Sensitivity Checks" display="HL_TOC_7"/>
    <hyperlink ref="Q57" location="HL_TOC_7" tooltip="Go to Sensitivity Checks" display="HL_TOC_7"/>
    <hyperlink ref="H58" location="HL_TOC_8" tooltip="Go to Alert Checks" display="HL_TOC_8"/>
    <hyperlink ref="I58" location="HL_TOC_8" tooltip="Go to Alert Checks" display="HL_TOC_8"/>
    <hyperlink ref="Q58" location="HL_TOC_8" tooltip="Go to Alert Checks" display="HL_TOC_8"/>
    <hyperlink ref="D59" location="HL_Sheet_Main_40" tooltip="Go to Lookup Tables" display="HL_Sheet_Main_40"/>
    <hyperlink ref="F59" location="HL_Sheet_Main_40" tooltip="Go to Lookup Tables" display="HL_Sheet_Main_40"/>
    <hyperlink ref="Q59" location="HL_Sheet_Main_40" tooltip="Go to Lookup Tables" display="HL_Sheet_Main_40"/>
    <hyperlink ref="F60" location="HL_Sheet_Main_9" tooltip="Go to Time Series Lookup Tables" display="HL_Sheet_Main_9"/>
    <hyperlink ref="H60" location="HL_Sheet_Main_9" tooltip="Go to Time Series Lookup Tables" display="HL_Sheet_Main_9"/>
    <hyperlink ref="Q60" location="HL_Sheet_Main_9" tooltip="Go to Time Series Lookup Tables" display="HL_Sheet_Main_9"/>
    <hyperlink ref="F61" location="HL_Sheet_Main_42" tooltip="Go to Capital - Lookup Tables" display="HL_Sheet_Main_42"/>
    <hyperlink ref="H61" location="HL_Sheet_Main_42" tooltip="Go to Capital - Lookup Tables" display="HL_Sheet_Main_42"/>
    <hyperlink ref="Q61" location="HL_Sheet_Main_42" tooltip="Go to Capital - Lookup Tables" display="HL_Sheet_Main_42"/>
    <hyperlink ref="F62" location="HL_Sheet_Main_27" tooltip="Go to Dashboards - Lookup Tables" display="HL_Sheet_Main_27"/>
    <hyperlink ref="H62" location="HL_Sheet_Main_27" tooltip="Go to Dashboards - Lookup Tables" display="HL_Sheet_Main_27"/>
    <hyperlink ref="Q62" location="HL_Sheet_Main_27" tooltip="Go to Dashboards - Lookup Tables" display="HL_Sheet_Main_27"/>
    <hyperlink ref="A6" location="$B$7" tooltip="Go to Top of Sheet" display="$B$7"/>
    <hyperlink ref="B3" location="'Cover'!A1" tooltip="Go to Cover Sheet" display="'Cover'!A1"/>
  </hyperlinks>
  <pageMargins left="0.39370078740157499" right="0.39370078740157499" top="0.59055118110236204" bottom="0.98425196850393704" header="0" footer="0.31496062992126"/>
  <pageSetup paperSize="9" orientation="landscape" r:id="rId1"/>
</worksheet>
</file>

<file path=xl/worksheets/sheet20.xml><?xml version="1.0" encoding="utf-8"?>
<worksheet xmlns="http://schemas.openxmlformats.org/spreadsheetml/2006/main" xmlns:r="http://schemas.openxmlformats.org/officeDocument/2006/relationships">
  <sheetPr codeName="Sheet21">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s>
  <sheetData>
    <row r="1" spans="1:17" ht="18">
      <c r="B1" s="1" t="s">
        <v>537</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IF(TS_Data_Final_Stub,"Period End Date",IF(TS_Pers_In_Yr=1,"",TS_Per_Type_Name&amp;" Ending"))</f>
        <v/>
      </c>
      <c r="I6" s="15"/>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I8" s="15"/>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row>
    <row r="19" spans="3:17" s="24" customFormat="1"/>
    <row r="20" spans="3:17" s="24" customFormat="1" hidden="1" outlineLevel="2">
      <c r="E20" s="228" t="str">
        <f>BS_Hist_TA!E20</f>
        <v>Opening Cash at Bank</v>
      </c>
      <c r="J20" s="143">
        <f>IF(J$12=0,0,I22)</f>
        <v>5</v>
      </c>
      <c r="K20" s="143">
        <f t="shared" ref="K20" si="8">IF(K$12=0,0,J22)</f>
        <v>7.5</v>
      </c>
      <c r="L20" s="143">
        <f t="shared" ref="L20" si="9">IF(L$12=0,0,K22)</f>
        <v>12.148336900684967</v>
      </c>
      <c r="M20" s="143">
        <f t="shared" ref="M20" si="10">IF(M$12=0,0,L22)</f>
        <v>0</v>
      </c>
      <c r="N20" s="143">
        <f t="shared" ref="N20" si="11">IF(N$12=0,0,M22)</f>
        <v>0</v>
      </c>
      <c r="O20" s="143">
        <f t="shared" ref="O20" si="12">IF(O$12=0,0,N22)</f>
        <v>0</v>
      </c>
      <c r="P20" s="143">
        <f t="shared" ref="P20" si="13">IF(P$12=0,0,O22)</f>
        <v>0</v>
      </c>
      <c r="Q20" s="143">
        <f t="shared" ref="Q20" si="14">IF(Q$12=0,0,P22)</f>
        <v>0</v>
      </c>
    </row>
    <row r="21" spans="3:17" s="24" customFormat="1" hidden="1" outlineLevel="2">
      <c r="E21" s="228" t="str">
        <f>BS_Hist_TA!E21</f>
        <v>Change in Cash at Bank</v>
      </c>
      <c r="J21" s="143">
        <f>J22-J20</f>
        <v>2.5</v>
      </c>
      <c r="K21" s="143">
        <f t="shared" ref="K21:Q21" si="15">K22-K20</f>
        <v>4.6483369006849671</v>
      </c>
      <c r="L21" s="143">
        <f t="shared" si="15"/>
        <v>12.48697107550386</v>
      </c>
      <c r="M21" s="143">
        <f t="shared" si="15"/>
        <v>0</v>
      </c>
      <c r="N21" s="143">
        <f t="shared" si="15"/>
        <v>0</v>
      </c>
      <c r="O21" s="143">
        <f t="shared" si="15"/>
        <v>0</v>
      </c>
      <c r="P21" s="143">
        <f t="shared" si="15"/>
        <v>0</v>
      </c>
      <c r="Q21" s="143">
        <f t="shared" si="15"/>
        <v>0</v>
      </c>
    </row>
    <row r="22" spans="3:17" s="24" customFormat="1" collapsed="1">
      <c r="D22" s="185" t="str">
        <f>BS_Hist_TA!D22</f>
        <v>Cash at Bank</v>
      </c>
      <c r="I22" s="219">
        <f>IF(ISBLANK(I$12),BS_Hist_TA!I22,IF(I$12=0,0,BS_Hist_TA!I22))</f>
        <v>5</v>
      </c>
      <c r="J22" s="219">
        <f>IF(ISBLANK(J$12),BS_Hist_TA!J22,IF(J$12=0,0,BS_Hist_TA!J22))</f>
        <v>7.5</v>
      </c>
      <c r="K22" s="219">
        <f>IF(ISBLANK(K$12),BS_Hist_TA!K22,IF(K$12=0,0,BS_Hist_TA!K22))</f>
        <v>12.148336900684967</v>
      </c>
      <c r="L22" s="219">
        <f>IF(ISBLANK(L$12),BS_Hist_TA!L22,IF(L$12=0,0,BS_Hist_TA!L22))</f>
        <v>24.635307976188827</v>
      </c>
      <c r="M22" s="219">
        <f>IF(ISBLANK(M$12),BS_Hist_TA!M22,IF(M$12=0,0,BS_Hist_TA!M22))</f>
        <v>0</v>
      </c>
      <c r="N22" s="219">
        <f>IF(ISBLANK(N$12),BS_Hist_TA!N22,IF(N$12=0,0,BS_Hist_TA!N22))</f>
        <v>0</v>
      </c>
      <c r="O22" s="219">
        <f>IF(ISBLANK(O$12),BS_Hist_TA!O22,IF(O$12=0,0,BS_Hist_TA!O22))</f>
        <v>0</v>
      </c>
      <c r="P22" s="219">
        <f>IF(ISBLANK(P$12),BS_Hist_TA!P22,IF(P$12=0,0,BS_Hist_TA!P22))</f>
        <v>0</v>
      </c>
      <c r="Q22" s="219">
        <f>IF(ISBLANK(Q$12),BS_Hist_TA!Q22,IF(Q$12=0,0,BS_Hist_TA!Q22))</f>
        <v>0</v>
      </c>
    </row>
    <row r="23" spans="3:17" s="24" customFormat="1">
      <c r="D23" s="185" t="str">
        <f>BS_Hist_TA!D23</f>
        <v>Accounts Receivable</v>
      </c>
      <c r="I23" s="219">
        <f>IF(ISBLANK(I$12),BS_Hist_TA!I23,IF(I$12=0,0,BS_Hist_TA!I23))</f>
        <v>10.273972602739725</v>
      </c>
      <c r="J23" s="219">
        <f>IF(ISBLANK(J$12),BS_Hist_TA!J23,IF(J$12=0,0,BS_Hist_TA!J23))</f>
        <v>10.273972602739725</v>
      </c>
      <c r="K23" s="219">
        <f>IF(ISBLANK(K$12),BS_Hist_TA!K23,IF(K$12=0,0,BS_Hist_TA!K23))</f>
        <v>10.530821917808218</v>
      </c>
      <c r="L23" s="219">
        <f>IF(ISBLANK(L$12),BS_Hist_TA!L23,IF(L$12=0,0,BS_Hist_TA!L23))</f>
        <v>10.764600409836065</v>
      </c>
      <c r="M23" s="219">
        <f>IF(ISBLANK(M$12),BS_Hist_TA!M23,IF(M$12=0,0,BS_Hist_TA!M23))</f>
        <v>0</v>
      </c>
      <c r="N23" s="219">
        <f>IF(ISBLANK(N$12),BS_Hist_TA!N23,IF(N$12=0,0,BS_Hist_TA!N23))</f>
        <v>0</v>
      </c>
      <c r="O23" s="219">
        <f>IF(ISBLANK(O$12),BS_Hist_TA!O23,IF(O$12=0,0,BS_Hist_TA!O23))</f>
        <v>0</v>
      </c>
      <c r="P23" s="219">
        <f>IF(ISBLANK(P$12),BS_Hist_TA!P23,IF(P$12=0,0,BS_Hist_TA!P23))</f>
        <v>0</v>
      </c>
      <c r="Q23" s="219">
        <f>IF(ISBLANK(Q$12),BS_Hist_TA!Q23,IF(Q$12=0,0,BS_Hist_TA!Q23))</f>
        <v>0</v>
      </c>
    </row>
    <row r="24" spans="3:17" s="24" customFormat="1">
      <c r="D24" s="185" t="str">
        <f>BS_Hist_TA!D24</f>
        <v>Other Current Assets</v>
      </c>
      <c r="I24" s="144">
        <f>IF(ISBLANK(I$12),BS_Hist_TA!I24,IF(I$12=0,0,BS_Hist_TA!I24))</f>
        <v>3</v>
      </c>
      <c r="J24" s="144">
        <f>IF(ISBLANK(J$12),BS_Hist_TA!J24,IF(J$12=0,0,BS_Hist_TA!J24))</f>
        <v>3</v>
      </c>
      <c r="K24" s="144">
        <f>IF(ISBLANK(K$12),BS_Hist_TA!K24,IF(K$12=0,0,BS_Hist_TA!K24))</f>
        <v>4</v>
      </c>
      <c r="L24" s="144">
        <f>IF(ISBLANK(L$12),BS_Hist_TA!L24,IF(L$12=0,0,BS_Hist_TA!L24))</f>
        <v>5</v>
      </c>
      <c r="M24" s="144">
        <f>IF(ISBLANK(M$12),BS_Hist_TA!M24,IF(M$12=0,0,BS_Hist_TA!M24))</f>
        <v>0</v>
      </c>
      <c r="N24" s="144">
        <f>IF(ISBLANK(N$12),BS_Hist_TA!N24,IF(N$12=0,0,BS_Hist_TA!N24))</f>
        <v>0</v>
      </c>
      <c r="O24" s="144">
        <f>IF(ISBLANK(O$12),BS_Hist_TA!O24,IF(O$12=0,0,BS_Hist_TA!O24))</f>
        <v>0</v>
      </c>
      <c r="P24" s="144">
        <f>IF(ISBLANK(P$12),BS_Hist_TA!P24,IF(P$12=0,0,BS_Hist_TA!P24))</f>
        <v>0</v>
      </c>
      <c r="Q24" s="144">
        <f>IF(ISBLANK(Q$12),BS_Hist_TA!Q24,IF(Q$12=0,0,BS_Hist_TA!Q24))</f>
        <v>0</v>
      </c>
    </row>
    <row r="25" spans="3:17" s="24" customFormat="1">
      <c r="D25" s="179" t="str">
        <f>BS_Hist_TA!D25</f>
        <v>Total Current Assets</v>
      </c>
      <c r="I25" s="225">
        <f>I22+SUM(I23:I24)</f>
        <v>18.273972602739725</v>
      </c>
      <c r="J25" s="225">
        <f>J22+SUM(J23:J24)</f>
        <v>20.773972602739725</v>
      </c>
      <c r="K25" s="225">
        <f t="shared" ref="K25:Q25" si="16">K22+SUM(K23:K24)</f>
        <v>26.679158818493185</v>
      </c>
      <c r="L25" s="225">
        <f t="shared" si="16"/>
        <v>40.39990838602489</v>
      </c>
      <c r="M25" s="225">
        <f t="shared" si="16"/>
        <v>0</v>
      </c>
      <c r="N25" s="225">
        <f t="shared" si="16"/>
        <v>0</v>
      </c>
      <c r="O25" s="225">
        <f t="shared" si="16"/>
        <v>0</v>
      </c>
      <c r="P25" s="225">
        <f t="shared" si="16"/>
        <v>0</v>
      </c>
      <c r="Q25" s="225">
        <f t="shared" si="16"/>
        <v>0</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185" t="str">
        <f>BS_Hist_TA!D29</f>
        <v>Assets</v>
      </c>
      <c r="I29" s="219">
        <f>IF(ISBLANK(I$12),BS_Hist_TA!I29,IF(I$12=0,0,BS_Hist_TA!I29))</f>
        <v>146.5</v>
      </c>
      <c r="J29" s="219">
        <f>IF(ISBLANK(J$12),BS_Hist_TA!J29,IF(J$12=0,0,BS_Hist_TA!J29))</f>
        <v>146.5</v>
      </c>
      <c r="K29" s="219">
        <f>IF(ISBLANK(K$12),BS_Hist_TA!K29,IF(K$12=0,0,BS_Hist_TA!K29))</f>
        <v>148.03749999999999</v>
      </c>
      <c r="L29" s="219">
        <f>IF(ISBLANK(L$12),BS_Hist_TA!L29,IF(L$12=0,0,BS_Hist_TA!L29))</f>
        <v>149.6134375</v>
      </c>
      <c r="M29" s="219">
        <f>IF(ISBLANK(M$12),BS_Hist_TA!M29,IF(M$12=0,0,BS_Hist_TA!M29))</f>
        <v>0</v>
      </c>
      <c r="N29" s="219">
        <f>IF(ISBLANK(N$12),BS_Hist_TA!N29,IF(N$12=0,0,BS_Hist_TA!N29))</f>
        <v>0</v>
      </c>
      <c r="O29" s="219">
        <f>IF(ISBLANK(O$12),BS_Hist_TA!O29,IF(O$12=0,0,BS_Hist_TA!O29))</f>
        <v>0</v>
      </c>
      <c r="P29" s="219">
        <f>IF(ISBLANK(P$12),BS_Hist_TA!P29,IF(P$12=0,0,BS_Hist_TA!P29))</f>
        <v>0</v>
      </c>
      <c r="Q29" s="219">
        <f>IF(ISBLANK(Q$12),BS_Hist_TA!Q29,IF(Q$12=0,0,BS_Hist_TA!Q29))</f>
        <v>0</v>
      </c>
    </row>
    <row r="30" spans="3:17" s="24" customFormat="1">
      <c r="D30" s="185" t="str">
        <f>BS_Hist_TA!D30</f>
        <v>Intangibles</v>
      </c>
      <c r="I30" s="219">
        <f>IF(ISBLANK(I$12),BS_Hist_TA!I30,IF(I$12=0,0,BS_Hist_TA!I30))</f>
        <v>13.375</v>
      </c>
      <c r="J30" s="219">
        <f>IF(ISBLANK(J$12),BS_Hist_TA!J30,IF(J$12=0,0,BS_Hist_TA!J30))</f>
        <v>13.375</v>
      </c>
      <c r="K30" s="219">
        <f>IF(ISBLANK(K$12),BS_Hist_TA!K30,IF(K$12=0,0,BS_Hist_TA!K30))</f>
        <v>15.296875</v>
      </c>
      <c r="L30" s="219">
        <f>IF(ISBLANK(L$12),BS_Hist_TA!L30,IF(L$12=0,0,BS_Hist_TA!L30))</f>
        <v>17.266796874999997</v>
      </c>
      <c r="M30" s="219">
        <f>IF(ISBLANK(M$12),BS_Hist_TA!M30,IF(M$12=0,0,BS_Hist_TA!M30))</f>
        <v>0</v>
      </c>
      <c r="N30" s="219">
        <f>IF(ISBLANK(N$12),BS_Hist_TA!N30,IF(N$12=0,0,BS_Hist_TA!N30))</f>
        <v>0</v>
      </c>
      <c r="O30" s="219">
        <f>IF(ISBLANK(O$12),BS_Hist_TA!O30,IF(O$12=0,0,BS_Hist_TA!O30))</f>
        <v>0</v>
      </c>
      <c r="P30" s="219">
        <f>IF(ISBLANK(P$12),BS_Hist_TA!P30,IF(P$12=0,0,BS_Hist_TA!P30))</f>
        <v>0</v>
      </c>
      <c r="Q30" s="219">
        <f>IF(ISBLANK(Q$12),BS_Hist_TA!Q30,IF(Q$12=0,0,BS_Hist_TA!Q30))</f>
        <v>0</v>
      </c>
    </row>
    <row r="31" spans="3:17" s="24" customFormat="1">
      <c r="D31" s="185" t="str">
        <f>BS_Hist_TA!D31</f>
        <v>Deferred Tax Assets</v>
      </c>
      <c r="I31" s="219">
        <f>IF(ISBLANK(I$12),BS_Hist_TA!I31,IF(I$12=0,0,BS_Hist_TA!I31))</f>
        <v>0</v>
      </c>
      <c r="J31" s="219">
        <f>IF(ISBLANK(J$12),BS_Hist_TA!J31,IF(J$12=0,0,BS_Hist_TA!J31))</f>
        <v>0</v>
      </c>
      <c r="K31" s="219">
        <f>IF(ISBLANK(K$12),BS_Hist_TA!K31,IF(K$12=0,0,BS_Hist_TA!K31))</f>
        <v>0</v>
      </c>
      <c r="L31" s="219">
        <f>IF(ISBLANK(L$12),BS_Hist_TA!L31,IF(L$12=0,0,BS_Hist_TA!L31))</f>
        <v>0</v>
      </c>
      <c r="M31" s="219">
        <f>IF(ISBLANK(M$12),BS_Hist_TA!M31,IF(M$12=0,0,BS_Hist_TA!M31))</f>
        <v>0</v>
      </c>
      <c r="N31" s="219">
        <f>IF(ISBLANK(N$12),BS_Hist_TA!N31,IF(N$12=0,0,BS_Hist_TA!N31))</f>
        <v>0</v>
      </c>
      <c r="O31" s="219">
        <f>IF(ISBLANK(O$12),BS_Hist_TA!O31,IF(O$12=0,0,BS_Hist_TA!O31))</f>
        <v>0</v>
      </c>
      <c r="P31" s="219">
        <f>IF(ISBLANK(P$12),BS_Hist_TA!P31,IF(P$12=0,0,BS_Hist_TA!P31))</f>
        <v>0</v>
      </c>
      <c r="Q31" s="219">
        <f>IF(ISBLANK(Q$12),BS_Hist_TA!Q31,IF(Q$12=0,0,BS_Hist_TA!Q31))</f>
        <v>0</v>
      </c>
    </row>
    <row r="32" spans="3:17" s="24" customFormat="1">
      <c r="D32" s="185" t="str">
        <f>BS_Hist_TA!D32</f>
        <v>Other Non-Current Assets</v>
      </c>
      <c r="I32" s="144">
        <f>IF(ISBLANK(I$12),BS_Hist_TA!I32,IF(I$12=0,0,BS_Hist_TA!I32))</f>
        <v>4</v>
      </c>
      <c r="J32" s="144">
        <f>IF(ISBLANK(J$12),BS_Hist_TA!J32,IF(J$12=0,0,BS_Hist_TA!J32))</f>
        <v>4</v>
      </c>
      <c r="K32" s="144">
        <f>IF(ISBLANK(K$12),BS_Hist_TA!K32,IF(K$12=0,0,BS_Hist_TA!K32))</f>
        <v>5</v>
      </c>
      <c r="L32" s="144">
        <f>IF(ISBLANK(L$12),BS_Hist_TA!L32,IF(L$12=0,0,BS_Hist_TA!L32))</f>
        <v>6</v>
      </c>
      <c r="M32" s="144">
        <f>IF(ISBLANK(M$12),BS_Hist_TA!M32,IF(M$12=0,0,BS_Hist_TA!M32))</f>
        <v>0</v>
      </c>
      <c r="N32" s="144">
        <f>IF(ISBLANK(N$12),BS_Hist_TA!N32,IF(N$12=0,0,BS_Hist_TA!N32))</f>
        <v>0</v>
      </c>
      <c r="O32" s="144">
        <f>IF(ISBLANK(O$12),BS_Hist_TA!O32,IF(O$12=0,0,BS_Hist_TA!O32))</f>
        <v>0</v>
      </c>
      <c r="P32" s="144">
        <f>IF(ISBLANK(P$12),BS_Hist_TA!P32,IF(P$12=0,0,BS_Hist_TA!P32))</f>
        <v>0</v>
      </c>
      <c r="Q32" s="144">
        <f>IF(ISBLANK(Q$12),BS_Hist_TA!Q32,IF(Q$12=0,0,BS_Hist_TA!Q32))</f>
        <v>0</v>
      </c>
    </row>
    <row r="33" spans="3:17" s="24" customFormat="1">
      <c r="D33" s="179" t="str">
        <f>BS_Hist_TA!D33</f>
        <v>Total Non-Current Assets</v>
      </c>
      <c r="I33" s="225">
        <f>SUM(I29:I32)</f>
        <v>163.875</v>
      </c>
      <c r="J33" s="225">
        <f>SUM(J29:J32)</f>
        <v>163.875</v>
      </c>
      <c r="K33" s="225">
        <f t="shared" ref="K33:Q33" si="17">SUM(K29:K32)</f>
        <v>168.33437499999999</v>
      </c>
      <c r="L33" s="225">
        <f t="shared" si="17"/>
        <v>172.88023437499999</v>
      </c>
      <c r="M33" s="225">
        <f t="shared" si="17"/>
        <v>0</v>
      </c>
      <c r="N33" s="225">
        <f t="shared" si="17"/>
        <v>0</v>
      </c>
      <c r="O33" s="225">
        <f t="shared" si="17"/>
        <v>0</v>
      </c>
      <c r="P33" s="225">
        <f t="shared" si="17"/>
        <v>0</v>
      </c>
      <c r="Q33" s="225">
        <f t="shared" si="17"/>
        <v>0</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8">I25+I33</f>
        <v>182.14897260273972</v>
      </c>
      <c r="J35" s="211">
        <f t="shared" si="18"/>
        <v>184.64897260273972</v>
      </c>
      <c r="K35" s="211">
        <f t="shared" si="18"/>
        <v>195.01353381849319</v>
      </c>
      <c r="L35" s="211">
        <f t="shared" si="18"/>
        <v>213.28014276102488</v>
      </c>
      <c r="M35" s="211">
        <f t="shared" si="18"/>
        <v>0</v>
      </c>
      <c r="N35" s="211">
        <f t="shared" si="18"/>
        <v>0</v>
      </c>
      <c r="O35" s="211">
        <f t="shared" si="18"/>
        <v>0</v>
      </c>
      <c r="P35" s="211">
        <f t="shared" si="18"/>
        <v>0</v>
      </c>
      <c r="Q35" s="211">
        <f t="shared" si="18"/>
        <v>0</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185" t="str">
        <f>BS_Hist_TA!D39</f>
        <v>Accounts Payable</v>
      </c>
      <c r="I39" s="219">
        <f>IF(ISBLANK(I$12),BS_Hist_TA!I39,IF(I$12=0,0,BS_Hist_TA!I39))</f>
        <v>8.0136986301369859</v>
      </c>
      <c r="J39" s="219">
        <f>IF(ISBLANK(J$12),BS_Hist_TA!J39,IF(J$12=0,0,BS_Hist_TA!J39))</f>
        <v>8.0136986301369859</v>
      </c>
      <c r="K39" s="219">
        <f>IF(ISBLANK(K$12),BS_Hist_TA!K39,IF(K$12=0,0,BS_Hist_TA!K39))</f>
        <v>8.2140410958904102</v>
      </c>
      <c r="L39" s="219">
        <f>IF(ISBLANK(L$12),BS_Hist_TA!L39,IF(L$12=0,0,BS_Hist_TA!L39))</f>
        <v>8.3963883196721305</v>
      </c>
      <c r="M39" s="219">
        <f>IF(ISBLANK(M$12),BS_Hist_TA!M39,IF(M$12=0,0,BS_Hist_TA!M39))</f>
        <v>0</v>
      </c>
      <c r="N39" s="219">
        <f>IF(ISBLANK(N$12),BS_Hist_TA!N39,IF(N$12=0,0,BS_Hist_TA!N39))</f>
        <v>0</v>
      </c>
      <c r="O39" s="219">
        <f>IF(ISBLANK(O$12),BS_Hist_TA!O39,IF(O$12=0,0,BS_Hist_TA!O39))</f>
        <v>0</v>
      </c>
      <c r="P39" s="219">
        <f>IF(ISBLANK(P$12),BS_Hist_TA!P39,IF(P$12=0,0,BS_Hist_TA!P39))</f>
        <v>0</v>
      </c>
      <c r="Q39" s="219">
        <f>IF(ISBLANK(Q$12),BS_Hist_TA!Q39,IF(Q$12=0,0,BS_Hist_TA!Q39))</f>
        <v>0</v>
      </c>
    </row>
    <row r="40" spans="3:17" s="24" customFormat="1">
      <c r="D40" s="185" t="str">
        <f>BS_Hist_TA!D40</f>
        <v>Tax Payable</v>
      </c>
      <c r="I40" s="219">
        <f>IF(ISBLANK(I$12),BS_Hist_TA!I40,IF(I$12=0,0,BS_Hist_TA!I40))</f>
        <v>12.787500000000001</v>
      </c>
      <c r="J40" s="219">
        <f>IF(ISBLANK(J$12),BS_Hist_TA!J40,IF(J$12=0,0,BS_Hist_TA!J40))</f>
        <v>12.787500000000001</v>
      </c>
      <c r="K40" s="219">
        <f>IF(ISBLANK(K$12),BS_Hist_TA!K40,IF(K$12=0,0,BS_Hist_TA!K40))</f>
        <v>13.131562500000003</v>
      </c>
      <c r="L40" s="219">
        <f>IF(ISBLANK(L$12),BS_Hist_TA!L40,IF(L$12=0,0,BS_Hist_TA!L40))</f>
        <v>13.484226562500004</v>
      </c>
      <c r="M40" s="219">
        <f>IF(ISBLANK(M$12),BS_Hist_TA!M40,IF(M$12=0,0,BS_Hist_TA!M40))</f>
        <v>0</v>
      </c>
      <c r="N40" s="219">
        <f>IF(ISBLANK(N$12),BS_Hist_TA!N40,IF(N$12=0,0,BS_Hist_TA!N40))</f>
        <v>0</v>
      </c>
      <c r="O40" s="219">
        <f>IF(ISBLANK(O$12),BS_Hist_TA!O40,IF(O$12=0,0,BS_Hist_TA!O40))</f>
        <v>0</v>
      </c>
      <c r="P40" s="219">
        <f>IF(ISBLANK(P$12),BS_Hist_TA!P40,IF(P$12=0,0,BS_Hist_TA!P40))</f>
        <v>0</v>
      </c>
      <c r="Q40" s="219">
        <f>IF(ISBLANK(Q$12),BS_Hist_TA!Q40,IF(Q$12=0,0,BS_Hist_TA!Q40))</f>
        <v>0</v>
      </c>
    </row>
    <row r="41" spans="3:17" s="24" customFormat="1">
      <c r="D41" s="185" t="str">
        <f>BS_Hist_TA!D41</f>
        <v>Interest Payable</v>
      </c>
      <c r="I41" s="219">
        <f>IF(ISBLANK(I$12),BS_Hist_TA!I41,IF(I$12=0,0,BS_Hist_TA!I41))</f>
        <v>0</v>
      </c>
      <c r="J41" s="219">
        <f>IF(ISBLANK(J$12),BS_Hist_TA!J41,IF(J$12=0,0,BS_Hist_TA!J41))</f>
        <v>0</v>
      </c>
      <c r="K41" s="219">
        <f>IF(ISBLANK(K$12),BS_Hist_TA!K41,IF(K$12=0,0,BS_Hist_TA!K41))</f>
        <v>0</v>
      </c>
      <c r="L41" s="219">
        <f>IF(ISBLANK(L$12),BS_Hist_TA!L41,IF(L$12=0,0,BS_Hist_TA!L41))</f>
        <v>0</v>
      </c>
      <c r="M41" s="219">
        <f>IF(ISBLANK(M$12),BS_Hist_TA!M41,IF(M$12=0,0,BS_Hist_TA!M41))</f>
        <v>0</v>
      </c>
      <c r="N41" s="219">
        <f>IF(ISBLANK(N$12),BS_Hist_TA!N41,IF(N$12=0,0,BS_Hist_TA!N41))</f>
        <v>0</v>
      </c>
      <c r="O41" s="219">
        <f>IF(ISBLANK(O$12),BS_Hist_TA!O41,IF(O$12=0,0,BS_Hist_TA!O41))</f>
        <v>0</v>
      </c>
      <c r="P41" s="219">
        <f>IF(ISBLANK(P$12),BS_Hist_TA!P41,IF(P$12=0,0,BS_Hist_TA!P41))</f>
        <v>0</v>
      </c>
      <c r="Q41" s="219">
        <f>IF(ISBLANK(Q$12),BS_Hist_TA!Q41,IF(Q$12=0,0,BS_Hist_TA!Q41))</f>
        <v>0</v>
      </c>
    </row>
    <row r="42" spans="3:17" s="24" customFormat="1">
      <c r="D42" s="185" t="str">
        <f>BS_Hist_TA!D42</f>
        <v>Ordinary Equity Dividends Payable</v>
      </c>
      <c r="I42" s="219">
        <f>IF(ISBLANK(I$12),BS_Hist_TA!I42,IF(I$12=0,0,BS_Hist_TA!I42))</f>
        <v>0</v>
      </c>
      <c r="J42" s="219">
        <f>IF(ISBLANK(J$12),BS_Hist_TA!J42,IF(J$12=0,0,BS_Hist_TA!J42))</f>
        <v>0</v>
      </c>
      <c r="K42" s="219">
        <f>IF(ISBLANK(K$12),BS_Hist_TA!K42,IF(K$12=0,0,BS_Hist_TA!K42))</f>
        <v>0</v>
      </c>
      <c r="L42" s="219">
        <f>IF(ISBLANK(L$12),BS_Hist_TA!L42,IF(L$12=0,0,BS_Hist_TA!L42))</f>
        <v>0</v>
      </c>
      <c r="M42" s="219">
        <f>IF(ISBLANK(M$12),BS_Hist_TA!M42,IF(M$12=0,0,BS_Hist_TA!M42))</f>
        <v>0</v>
      </c>
      <c r="N42" s="219">
        <f>IF(ISBLANK(N$12),BS_Hist_TA!N42,IF(N$12=0,0,BS_Hist_TA!N42))</f>
        <v>0</v>
      </c>
      <c r="O42" s="219">
        <f>IF(ISBLANK(O$12),BS_Hist_TA!O42,IF(O$12=0,0,BS_Hist_TA!O42))</f>
        <v>0</v>
      </c>
      <c r="P42" s="219">
        <f>IF(ISBLANK(P$12),BS_Hist_TA!P42,IF(P$12=0,0,BS_Hist_TA!P42))</f>
        <v>0</v>
      </c>
      <c r="Q42" s="219">
        <f>IF(ISBLANK(Q$12),BS_Hist_TA!Q42,IF(Q$12=0,0,BS_Hist_TA!Q42))</f>
        <v>0</v>
      </c>
    </row>
    <row r="43" spans="3:17" s="24" customFormat="1">
      <c r="D43" s="185" t="str">
        <f>BS_Hist_TA!D43</f>
        <v>Other Current Liabilities</v>
      </c>
      <c r="I43" s="144">
        <f>IF(ISBLANK(I$12),BS_Hist_TA!I43,IF(I$12=0,0,BS_Hist_TA!I43))</f>
        <v>5</v>
      </c>
      <c r="J43" s="144">
        <f>IF(ISBLANK(J$12),BS_Hist_TA!J43,IF(J$12=0,0,BS_Hist_TA!J43))</f>
        <v>5</v>
      </c>
      <c r="K43" s="144">
        <f>IF(ISBLANK(K$12),BS_Hist_TA!K43,IF(K$12=0,0,BS_Hist_TA!K43))</f>
        <v>6</v>
      </c>
      <c r="L43" s="144">
        <f>IF(ISBLANK(L$12),BS_Hist_TA!L43,IF(L$12=0,0,BS_Hist_TA!L43))</f>
        <v>7</v>
      </c>
      <c r="M43" s="144">
        <f>IF(ISBLANK(M$12),BS_Hist_TA!M43,IF(M$12=0,0,BS_Hist_TA!M43))</f>
        <v>0</v>
      </c>
      <c r="N43" s="144">
        <f>IF(ISBLANK(N$12),BS_Hist_TA!N43,IF(N$12=0,0,BS_Hist_TA!N43))</f>
        <v>0</v>
      </c>
      <c r="O43" s="144">
        <f>IF(ISBLANK(O$12),BS_Hist_TA!O43,IF(O$12=0,0,BS_Hist_TA!O43))</f>
        <v>0</v>
      </c>
      <c r="P43" s="144">
        <f>IF(ISBLANK(P$12),BS_Hist_TA!P43,IF(P$12=0,0,BS_Hist_TA!P43))</f>
        <v>0</v>
      </c>
      <c r="Q43" s="144">
        <f>IF(ISBLANK(Q$12),BS_Hist_TA!Q43,IF(Q$12=0,0,BS_Hist_TA!Q43))</f>
        <v>0</v>
      </c>
    </row>
    <row r="44" spans="3:17" s="24" customFormat="1">
      <c r="D44" s="179" t="str">
        <f>BS_Hist_TA!D44</f>
        <v>Total Current Liabilities</v>
      </c>
      <c r="I44" s="225">
        <f>SUM(I39:I43)</f>
        <v>25.801198630136987</v>
      </c>
      <c r="J44" s="225">
        <f>SUM(J39:J43)</f>
        <v>25.801198630136987</v>
      </c>
      <c r="K44" s="225">
        <f t="shared" ref="K44:Q44" si="19">SUM(K39:K43)</f>
        <v>27.345603595890413</v>
      </c>
      <c r="L44" s="225">
        <f t="shared" si="19"/>
        <v>28.880614882172132</v>
      </c>
      <c r="M44" s="225">
        <f t="shared" si="19"/>
        <v>0</v>
      </c>
      <c r="N44" s="225">
        <f t="shared" si="19"/>
        <v>0</v>
      </c>
      <c r="O44" s="225">
        <f t="shared" si="19"/>
        <v>0</v>
      </c>
      <c r="P44" s="225">
        <f t="shared" si="19"/>
        <v>0</v>
      </c>
      <c r="Q44" s="225">
        <f t="shared" si="19"/>
        <v>0</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185" t="str">
        <f>BS_Hist_TA!D48</f>
        <v>Debt</v>
      </c>
      <c r="I48" s="219">
        <f>IF(ISBLANK(I$12),BS_Hist_TA!I48,IF(I$12=0,0,BS_Hist_TA!I48))</f>
        <v>50</v>
      </c>
      <c r="J48" s="219">
        <f>IF(ISBLANK(J$12),BS_Hist_TA!J48,IF(J$12=0,0,BS_Hist_TA!J48))</f>
        <v>50</v>
      </c>
      <c r="K48" s="219">
        <f>IF(ISBLANK(K$12),BS_Hist_TA!K48,IF(K$12=0,0,BS_Hist_TA!K48))</f>
        <v>50</v>
      </c>
      <c r="L48" s="219">
        <f>IF(ISBLANK(L$12),BS_Hist_TA!L48,IF(L$12=0,0,BS_Hist_TA!L48))</f>
        <v>50</v>
      </c>
      <c r="M48" s="219">
        <f>IF(ISBLANK(M$12),BS_Hist_TA!M48,IF(M$12=0,0,BS_Hist_TA!M48))</f>
        <v>0</v>
      </c>
      <c r="N48" s="219">
        <f>IF(ISBLANK(N$12),BS_Hist_TA!N48,IF(N$12=0,0,BS_Hist_TA!N48))</f>
        <v>0</v>
      </c>
      <c r="O48" s="219">
        <f>IF(ISBLANK(O$12),BS_Hist_TA!O48,IF(O$12=0,0,BS_Hist_TA!O48))</f>
        <v>0</v>
      </c>
      <c r="P48" s="219">
        <f>IF(ISBLANK(P$12),BS_Hist_TA!P48,IF(P$12=0,0,BS_Hist_TA!P48))</f>
        <v>0</v>
      </c>
      <c r="Q48" s="219">
        <f>IF(ISBLANK(Q$12),BS_Hist_TA!Q48,IF(Q$12=0,0,BS_Hist_TA!Q48))</f>
        <v>0</v>
      </c>
    </row>
    <row r="49" spans="3:17" s="24" customFormat="1">
      <c r="D49" s="185" t="str">
        <f>BS_Hist_TA!D49</f>
        <v>Deferred Tax Liabilities</v>
      </c>
      <c r="I49" s="219">
        <f>IF(ISBLANK(I$12),BS_Hist_TA!I49,IF(I$12=0,0,BS_Hist_TA!I49))</f>
        <v>0</v>
      </c>
      <c r="J49" s="219">
        <f>IF(ISBLANK(J$12),BS_Hist_TA!J49,IF(J$12=0,0,BS_Hist_TA!J49))</f>
        <v>0</v>
      </c>
      <c r="K49" s="219">
        <f>IF(ISBLANK(K$12),BS_Hist_TA!K49,IF(K$12=0,0,BS_Hist_TA!K49))</f>
        <v>0</v>
      </c>
      <c r="L49" s="219">
        <f>IF(ISBLANK(L$12),BS_Hist_TA!L49,IF(L$12=0,0,BS_Hist_TA!L49))</f>
        <v>0</v>
      </c>
      <c r="M49" s="219">
        <f>IF(ISBLANK(M$12),BS_Hist_TA!M49,IF(M$12=0,0,BS_Hist_TA!M49))</f>
        <v>0</v>
      </c>
      <c r="N49" s="219">
        <f>IF(ISBLANK(N$12),BS_Hist_TA!N49,IF(N$12=0,0,BS_Hist_TA!N49))</f>
        <v>0</v>
      </c>
      <c r="O49" s="219">
        <f>IF(ISBLANK(O$12),BS_Hist_TA!O49,IF(O$12=0,0,BS_Hist_TA!O49))</f>
        <v>0</v>
      </c>
      <c r="P49" s="219">
        <f>IF(ISBLANK(P$12),BS_Hist_TA!P49,IF(P$12=0,0,BS_Hist_TA!P49))</f>
        <v>0</v>
      </c>
      <c r="Q49" s="219">
        <f>IF(ISBLANK(Q$12),BS_Hist_TA!Q49,IF(Q$12=0,0,BS_Hist_TA!Q49))</f>
        <v>0</v>
      </c>
    </row>
    <row r="50" spans="3:17" s="24" customFormat="1">
      <c r="D50" s="185" t="str">
        <f>BS_Hist_TA!D50</f>
        <v>Other Non-Current Liabilities</v>
      </c>
      <c r="I50" s="144">
        <f>IF(ISBLANK(I$12),BS_Hist_TA!I50,IF(I$12=0,0,BS_Hist_TA!I50))</f>
        <v>6</v>
      </c>
      <c r="J50" s="144">
        <f>IF(ISBLANK(J$12),BS_Hist_TA!J50,IF(J$12=0,0,BS_Hist_TA!J50))</f>
        <v>6</v>
      </c>
      <c r="K50" s="144">
        <f>IF(ISBLANK(K$12),BS_Hist_TA!K50,IF(K$12=0,0,BS_Hist_TA!K50))</f>
        <v>7</v>
      </c>
      <c r="L50" s="144">
        <f>IF(ISBLANK(L$12),BS_Hist_TA!L50,IF(L$12=0,0,BS_Hist_TA!L50))</f>
        <v>8</v>
      </c>
      <c r="M50" s="144">
        <f>IF(ISBLANK(M$12),BS_Hist_TA!M50,IF(M$12=0,0,BS_Hist_TA!M50))</f>
        <v>0</v>
      </c>
      <c r="N50" s="144">
        <f>IF(ISBLANK(N$12),BS_Hist_TA!N50,IF(N$12=0,0,BS_Hist_TA!N50))</f>
        <v>0</v>
      </c>
      <c r="O50" s="144">
        <f>IF(ISBLANK(O$12),BS_Hist_TA!O50,IF(O$12=0,0,BS_Hist_TA!O50))</f>
        <v>0</v>
      </c>
      <c r="P50" s="144">
        <f>IF(ISBLANK(P$12),BS_Hist_TA!P50,IF(P$12=0,0,BS_Hist_TA!P50))</f>
        <v>0</v>
      </c>
      <c r="Q50" s="144">
        <f>IF(ISBLANK(Q$12),BS_Hist_TA!Q50,IF(Q$12=0,0,BS_Hist_TA!Q50))</f>
        <v>0</v>
      </c>
    </row>
    <row r="51" spans="3:17" s="24" customFormat="1">
      <c r="D51" s="179" t="str">
        <f>BS_Hist_TA!D51</f>
        <v>Total Non-Current Liabilities</v>
      </c>
      <c r="I51" s="225">
        <f>SUM(I48:I50)</f>
        <v>56</v>
      </c>
      <c r="J51" s="225">
        <f>SUM(J48:J50)</f>
        <v>56</v>
      </c>
      <c r="K51" s="225">
        <f t="shared" ref="K51:Q51" si="20">SUM(K48:K50)</f>
        <v>57</v>
      </c>
      <c r="L51" s="225">
        <f t="shared" si="20"/>
        <v>58</v>
      </c>
      <c r="M51" s="225">
        <f t="shared" si="20"/>
        <v>0</v>
      </c>
      <c r="N51" s="225">
        <f t="shared" si="20"/>
        <v>0</v>
      </c>
      <c r="O51" s="225">
        <f t="shared" si="20"/>
        <v>0</v>
      </c>
      <c r="P51" s="225">
        <f t="shared" si="20"/>
        <v>0</v>
      </c>
      <c r="Q51" s="225">
        <f t="shared" si="20"/>
        <v>0</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21">I44+I51</f>
        <v>81.80119863013698</v>
      </c>
      <c r="J53" s="211">
        <f t="shared" si="21"/>
        <v>81.80119863013698</v>
      </c>
      <c r="K53" s="211">
        <f t="shared" si="21"/>
        <v>84.34560359589041</v>
      </c>
      <c r="L53" s="211">
        <f t="shared" si="21"/>
        <v>86.880614882172125</v>
      </c>
      <c r="M53" s="211">
        <f t="shared" si="21"/>
        <v>0</v>
      </c>
      <c r="N53" s="211">
        <f t="shared" si="21"/>
        <v>0</v>
      </c>
      <c r="O53" s="211">
        <f t="shared" si="21"/>
        <v>0</v>
      </c>
      <c r="P53" s="211">
        <f t="shared" si="21"/>
        <v>0</v>
      </c>
      <c r="Q53" s="211">
        <f t="shared" si="21"/>
        <v>0</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22">I35-I53</f>
        <v>100.34777397260274</v>
      </c>
      <c r="J55" s="213">
        <f t="shared" si="22"/>
        <v>102.84777397260274</v>
      </c>
      <c r="K55" s="213">
        <f t="shared" si="22"/>
        <v>110.66793022260278</v>
      </c>
      <c r="L55" s="213">
        <f t="shared" si="22"/>
        <v>126.39952787885275</v>
      </c>
      <c r="M55" s="213">
        <f t="shared" si="22"/>
        <v>0</v>
      </c>
      <c r="N55" s="213">
        <f t="shared" si="22"/>
        <v>0</v>
      </c>
      <c r="O55" s="213">
        <f t="shared" si="22"/>
        <v>0</v>
      </c>
      <c r="P55" s="213">
        <f t="shared" si="22"/>
        <v>0</v>
      </c>
      <c r="Q55" s="213">
        <f t="shared" si="22"/>
        <v>0</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185" t="str">
        <f>BS_Hist_TA!D59</f>
        <v>Ordinary Equity</v>
      </c>
      <c r="I59" s="219">
        <f>IF(ISBLANK(I$12),BS_Hist_TA!I59,IF(I$12=0,0,BS_Hist_TA!I59))</f>
        <v>75</v>
      </c>
      <c r="J59" s="219">
        <f>IF(ISBLANK(J$12),BS_Hist_TA!J59,IF(J$12=0,0,BS_Hist_TA!J59))</f>
        <v>75</v>
      </c>
      <c r="K59" s="219">
        <f>IF(ISBLANK(K$12),BS_Hist_TA!K59,IF(K$12=0,0,BS_Hist_TA!K59))</f>
        <v>75</v>
      </c>
      <c r="L59" s="219">
        <f>IF(ISBLANK(L$12),BS_Hist_TA!L59,IF(L$12=0,0,BS_Hist_TA!L59))</f>
        <v>75</v>
      </c>
      <c r="M59" s="219">
        <f>IF(ISBLANK(M$12),BS_Hist_TA!M59,IF(M$12=0,0,BS_Hist_TA!M59))</f>
        <v>0</v>
      </c>
      <c r="N59" s="219">
        <f>IF(ISBLANK(N$12),BS_Hist_TA!N59,IF(N$12=0,0,BS_Hist_TA!N59))</f>
        <v>0</v>
      </c>
      <c r="O59" s="219">
        <f>IF(ISBLANK(O$12),BS_Hist_TA!O59,IF(O$12=0,0,BS_Hist_TA!O59))</f>
        <v>0</v>
      </c>
      <c r="P59" s="219">
        <f>IF(ISBLANK(P$12),BS_Hist_TA!P59,IF(P$12=0,0,BS_Hist_TA!P59))</f>
        <v>0</v>
      </c>
      <c r="Q59" s="219">
        <f>IF(ISBLANK(Q$12),BS_Hist_TA!Q59,IF(Q$12=0,0,BS_Hist_TA!Q59))</f>
        <v>0</v>
      </c>
    </row>
    <row r="60" spans="3:17" s="24" customFormat="1">
      <c r="D60" s="203" t="str">
        <f>BS_Hist_TA!D60</f>
        <v>Other Equity</v>
      </c>
      <c r="I60" s="219">
        <f>IF(ISBLANK(I$12),BS_Hist_TA!I60,IF(I$12=0,0,BS_Hist_TA!I60))</f>
        <v>5</v>
      </c>
      <c r="J60" s="219">
        <f>IF(ISBLANK(J$12),BS_Hist_TA!J60,IF(J$12=0,0,BS_Hist_TA!J60))</f>
        <v>5</v>
      </c>
      <c r="K60" s="219">
        <f>IF(ISBLANK(K$12),BS_Hist_TA!K60,IF(K$12=0,0,BS_Hist_TA!K60))</f>
        <v>5</v>
      </c>
      <c r="L60" s="219">
        <f>IF(ISBLANK(L$12),BS_Hist_TA!L60,IF(L$12=0,0,BS_Hist_TA!L60))</f>
        <v>5</v>
      </c>
      <c r="M60" s="219">
        <f>IF(ISBLANK(M$12),BS_Hist_TA!M60,IF(M$12=0,0,BS_Hist_TA!M60))</f>
        <v>0</v>
      </c>
      <c r="N60" s="219">
        <f>IF(ISBLANK(N$12),BS_Hist_TA!N60,IF(N$12=0,0,BS_Hist_TA!N60))</f>
        <v>0</v>
      </c>
      <c r="O60" s="219">
        <f>IF(ISBLANK(O$12),BS_Hist_TA!O60,IF(O$12=0,0,BS_Hist_TA!O60))</f>
        <v>0</v>
      </c>
      <c r="P60" s="219">
        <f>IF(ISBLANK(P$12),BS_Hist_TA!P60,IF(P$12=0,0,BS_Hist_TA!P60))</f>
        <v>0</v>
      </c>
      <c r="Q60" s="219">
        <f>IF(ISBLANK(Q$12),BS_Hist_TA!Q60,IF(Q$12=0,0,BS_Hist_TA!Q60))</f>
        <v>0</v>
      </c>
    </row>
    <row r="61" spans="3:17" s="24" customFormat="1" hidden="1" outlineLevel="2">
      <c r="D61" s="203"/>
      <c r="E61" s="202" t="s">
        <v>277</v>
      </c>
      <c r="I61" s="219"/>
      <c r="J61" s="219">
        <f>IF(J$12=0,0,I64)</f>
        <v>20.347773972602738</v>
      </c>
      <c r="K61" s="219">
        <f t="shared" ref="K61" si="23">IF(K$12=0,0,J64)</f>
        <v>22.847773972602738</v>
      </c>
      <c r="L61" s="219">
        <f t="shared" ref="L61" si="24">IF(L$12=0,0,K64)</f>
        <v>30.667930222602777</v>
      </c>
      <c r="M61" s="219">
        <f t="shared" ref="M61" si="25">IF(M$12=0,0,L64)</f>
        <v>0</v>
      </c>
      <c r="N61" s="219">
        <f t="shared" ref="N61" si="26">IF(N$12=0,0,M64)</f>
        <v>0</v>
      </c>
      <c r="O61" s="219">
        <f t="shared" ref="O61" si="27">IF(O$12=0,0,N64)</f>
        <v>0</v>
      </c>
      <c r="P61" s="219">
        <f t="shared" ref="P61" si="28">IF(P$12=0,0,O64)</f>
        <v>0</v>
      </c>
      <c r="Q61" s="219">
        <f t="shared" ref="Q61" si="29">IF(Q$12=0,0,P64)</f>
        <v>0</v>
      </c>
    </row>
    <row r="62" spans="3:17" s="24" customFormat="1" hidden="1" outlineLevel="2">
      <c r="D62" s="203"/>
      <c r="E62" s="202" t="s">
        <v>559</v>
      </c>
      <c r="I62" s="219"/>
      <c r="J62" s="219">
        <f>IF(ISBLANK(J$12),BS_Hist_TA!J61,IF(J$12=0,0,BS_Hist_TA!J61))-J61</f>
        <v>2.5</v>
      </c>
      <c r="K62" s="219">
        <f>IF(ISBLANK(K$12),BS_Hist_TA!K61,IF(K$12=0,0,BS_Hist_TA!K61))-K61</f>
        <v>7.8201562500000392</v>
      </c>
      <c r="L62" s="219">
        <f>IF(ISBLANK(L$12),BS_Hist_TA!L61,IF(L$12=0,0,BS_Hist_TA!L61))-L61</f>
        <v>15.731597656249974</v>
      </c>
      <c r="M62" s="219">
        <f>IF(ISBLANK(M$12),BS_Hist_TA!M61,IF(M$12=0,0,BS_Hist_TA!M61))-M61</f>
        <v>0</v>
      </c>
      <c r="N62" s="219">
        <f>IF(ISBLANK(N$12),BS_Hist_TA!N61,IF(N$12=0,0,BS_Hist_TA!N61))-N61</f>
        <v>0</v>
      </c>
      <c r="O62" s="219">
        <f>IF(ISBLANK(O$12),BS_Hist_TA!O61,IF(O$12=0,0,BS_Hist_TA!O61))-O61</f>
        <v>0</v>
      </c>
      <c r="P62" s="219">
        <f>IF(ISBLANK(P$12),BS_Hist_TA!P61,IF(P$12=0,0,BS_Hist_TA!P61))-P61</f>
        <v>0</v>
      </c>
      <c r="Q62" s="219">
        <f>IF(ISBLANK(Q$12),BS_Hist_TA!Q61,IF(Q$12=0,0,BS_Hist_TA!Q61))-Q61</f>
        <v>0</v>
      </c>
    </row>
    <row r="63" spans="3:17" s="24" customFormat="1" hidden="1" outlineLevel="2">
      <c r="E63" s="203" t="str">
        <f>BS_Hist_TA!E62</f>
        <v>Retained Profits - Balancing Item</v>
      </c>
      <c r="I63" s="219"/>
      <c r="J63" s="219">
        <f>IF(ISBLANK(J$12),BS_Hist_TA!J62,IF(J$12=0,0,BS_Hist_TA!J62))</f>
        <v>0</v>
      </c>
      <c r="K63" s="219">
        <f>IF(ISBLANK(K$12),BS_Hist_TA!K62,IF(K$12=0,0,BS_Hist_TA!K62))</f>
        <v>0</v>
      </c>
      <c r="L63" s="219">
        <f>IF(ISBLANK(L$12),BS_Hist_TA!L62,IF(L$12=0,0,BS_Hist_TA!L62))</f>
        <v>0</v>
      </c>
      <c r="M63" s="219">
        <f>IF(ISBLANK(M$12),BS_Hist_TA!M62,IF(M$12=0,0,BS_Hist_TA!M62))</f>
        <v>0</v>
      </c>
      <c r="N63" s="219">
        <f>IF(ISBLANK(N$12),BS_Hist_TA!N62,IF(N$12=0,0,BS_Hist_TA!N62))</f>
        <v>0</v>
      </c>
      <c r="O63" s="219">
        <f>IF(ISBLANK(O$12),BS_Hist_TA!O62,IF(O$12=0,0,BS_Hist_TA!O62))</f>
        <v>0</v>
      </c>
      <c r="P63" s="219">
        <f>IF(ISBLANK(P$12),BS_Hist_TA!P62,IF(P$12=0,0,BS_Hist_TA!P62))</f>
        <v>0</v>
      </c>
      <c r="Q63" s="219">
        <f>IF(ISBLANK(Q$12),BS_Hist_TA!Q62,IF(Q$12=0,0,BS_Hist_TA!Q62))</f>
        <v>0</v>
      </c>
    </row>
    <row r="64" spans="3:17" s="24" customFormat="1" collapsed="1">
      <c r="D64" s="185" t="str">
        <f>BS_Hist_TA!D63</f>
        <v>Retained Profits</v>
      </c>
      <c r="I64" s="212">
        <f>IF(ISBLANK(I$12),BS_Hist_TA!$I$63,SUM(I61:I63))</f>
        <v>20.347773972602738</v>
      </c>
      <c r="J64" s="212">
        <f>IF(ISBLANK(J$12),BS_Hist_TA!$I$63,SUM(J61:J63))</f>
        <v>22.847773972602738</v>
      </c>
      <c r="K64" s="212">
        <f>IF(ISBLANK(K$12),BS_Hist_TA!$I$63,SUM(K61:K63))</f>
        <v>30.667930222602777</v>
      </c>
      <c r="L64" s="212">
        <f>IF(ISBLANK(L$12),BS_Hist_TA!$I$63,SUM(L61:L63))</f>
        <v>46.399527878852751</v>
      </c>
      <c r="M64" s="212">
        <f>IF(ISBLANK(M$12),BS_Hist_TA!$I$63,SUM(M61:M63))</f>
        <v>0</v>
      </c>
      <c r="N64" s="212">
        <f>IF(ISBLANK(N$12),BS_Hist_TA!$I$63,SUM(N61:N63))</f>
        <v>0</v>
      </c>
      <c r="O64" s="212">
        <f>IF(ISBLANK(O$12),BS_Hist_TA!$I$63,SUM(O61:O63))</f>
        <v>0</v>
      </c>
      <c r="P64" s="212">
        <f>IF(ISBLANK(P$12),BS_Hist_TA!$I$63,SUM(P61:P63))</f>
        <v>0</v>
      </c>
      <c r="Q64" s="212">
        <f>IF(ISBLANK(Q$12),BS_Hist_TA!$I$63,SUM(Q61:Q63))</f>
        <v>0</v>
      </c>
    </row>
    <row r="65" spans="3:17" s="24" customFormat="1">
      <c r="I65" s="143"/>
      <c r="J65" s="143"/>
      <c r="K65" s="143"/>
      <c r="L65" s="143"/>
      <c r="M65" s="143"/>
      <c r="N65" s="143"/>
      <c r="O65" s="143"/>
      <c r="P65" s="143"/>
      <c r="Q65" s="143"/>
    </row>
    <row r="66" spans="3:17" s="24" customFormat="1" ht="12" thickBot="1">
      <c r="C66" s="216" t="str">
        <f>BS_Hist_TA!C65</f>
        <v>Total Equity</v>
      </c>
      <c r="I66" s="213">
        <f t="shared" ref="I66:Q66" si="30">I59+I60+I64</f>
        <v>100.34777397260274</v>
      </c>
      <c r="J66" s="213">
        <f t="shared" si="30"/>
        <v>102.84777397260274</v>
      </c>
      <c r="K66" s="213">
        <f t="shared" si="30"/>
        <v>110.66793022260278</v>
      </c>
      <c r="L66" s="213">
        <f t="shared" si="30"/>
        <v>126.39952787885275</v>
      </c>
      <c r="M66" s="213">
        <f t="shared" si="30"/>
        <v>0</v>
      </c>
      <c r="N66" s="213">
        <f t="shared" si="30"/>
        <v>0</v>
      </c>
      <c r="O66" s="213">
        <f t="shared" si="30"/>
        <v>0</v>
      </c>
      <c r="P66" s="213">
        <f t="shared" si="30"/>
        <v>0</v>
      </c>
      <c r="Q66" s="213">
        <f t="shared" si="30"/>
        <v>0</v>
      </c>
    </row>
    <row r="67" spans="3:17" s="24" customFormat="1" ht="12" thickTop="1">
      <c r="C67" s="244"/>
      <c r="I67" s="225"/>
      <c r="J67" s="225"/>
      <c r="K67" s="225"/>
      <c r="L67" s="225"/>
      <c r="M67" s="225"/>
      <c r="N67" s="225"/>
      <c r="O67" s="225"/>
      <c r="P67" s="225"/>
      <c r="Q67" s="225"/>
    </row>
    <row r="68" spans="3:17" s="24" customFormat="1" hidden="1" outlineLevel="2">
      <c r="D68" s="228" t="str">
        <f>BS_Hist_TA!D67</f>
        <v>Error Values</v>
      </c>
      <c r="I68" s="221">
        <f>IF(ISERROR(I55-I66),1,0)</f>
        <v>0</v>
      </c>
      <c r="J68" s="221">
        <f t="shared" ref="J68:Q68" si="31">IF(ISERROR(J55-J66),1,0)</f>
        <v>0</v>
      </c>
      <c r="K68" s="221">
        <f t="shared" si="31"/>
        <v>0</v>
      </c>
      <c r="L68" s="221">
        <f t="shared" si="31"/>
        <v>0</v>
      </c>
      <c r="M68" s="221">
        <f t="shared" si="31"/>
        <v>0</v>
      </c>
      <c r="N68" s="221">
        <f t="shared" si="31"/>
        <v>0</v>
      </c>
      <c r="O68" s="221">
        <f t="shared" si="31"/>
        <v>0</v>
      </c>
      <c r="P68" s="221">
        <f t="shared" si="31"/>
        <v>0</v>
      </c>
      <c r="Q68" s="221">
        <f t="shared" si="31"/>
        <v>0</v>
      </c>
    </row>
    <row r="69" spans="3:17" s="24" customFormat="1" hidden="1" outlineLevel="2">
      <c r="D69" s="228" t="str">
        <f>BS_Hist_TA!D68</f>
        <v>Balancing Item Used</v>
      </c>
      <c r="I69" s="222">
        <f>IF(I68&lt;&gt;0,0,(ROUND(I55-I66,5)&lt;&gt;0)*1)</f>
        <v>0</v>
      </c>
      <c r="J69" s="222">
        <f t="shared" ref="J69:Q69" si="32">IF(J68&lt;&gt;0,0,(ROUND(J55-J66,5)&lt;&gt;0)*1)</f>
        <v>0</v>
      </c>
      <c r="K69" s="222">
        <f t="shared" si="32"/>
        <v>0</v>
      </c>
      <c r="L69" s="222">
        <f t="shared" si="32"/>
        <v>0</v>
      </c>
      <c r="M69" s="222">
        <f t="shared" si="32"/>
        <v>0</v>
      </c>
      <c r="N69" s="222">
        <f t="shared" si="32"/>
        <v>0</v>
      </c>
      <c r="O69" s="222">
        <f t="shared" si="32"/>
        <v>0</v>
      </c>
      <c r="P69" s="222">
        <f t="shared" si="32"/>
        <v>0</v>
      </c>
      <c r="Q69" s="222">
        <f t="shared" si="32"/>
        <v>0</v>
      </c>
    </row>
    <row r="70" spans="3:17" s="24" customFormat="1" collapsed="1">
      <c r="C70" s="228" t="str">
        <f>BS_Hist_TA!C69</f>
        <v>Total Error Check Result</v>
      </c>
      <c r="H70" s="223">
        <f>IF(ISERROR(SUM(I70:Q70)),0,MIN(SUM(I70:Q70),1))</f>
        <v>0</v>
      </c>
      <c r="I70" s="224">
        <f t="shared" ref="I70:Q70" si="33">MIN(SUM(I68:I69),1)</f>
        <v>0</v>
      </c>
      <c r="J70" s="224">
        <f t="shared" si="33"/>
        <v>0</v>
      </c>
      <c r="K70" s="224">
        <f t="shared" si="33"/>
        <v>0</v>
      </c>
      <c r="L70" s="224">
        <f t="shared" si="33"/>
        <v>0</v>
      </c>
      <c r="M70" s="224">
        <f t="shared" si="33"/>
        <v>0</v>
      </c>
      <c r="N70" s="224">
        <f t="shared" si="33"/>
        <v>0</v>
      </c>
      <c r="O70" s="224">
        <f t="shared" si="33"/>
        <v>0</v>
      </c>
      <c r="P70" s="224">
        <f t="shared" si="33"/>
        <v>0</v>
      </c>
      <c r="Q70" s="224">
        <f t="shared" si="33"/>
        <v>0</v>
      </c>
    </row>
    <row r="71" spans="3:17" s="24" customFormat="1" hidden="1" outlineLevel="2">
      <c r="J71" s="220"/>
      <c r="K71" s="220"/>
      <c r="L71" s="220"/>
      <c r="M71" s="220"/>
      <c r="N71" s="220"/>
      <c r="O71" s="220"/>
      <c r="P71" s="220"/>
      <c r="Q71" s="220"/>
    </row>
    <row r="72" spans="3:17" s="24" customFormat="1" hidden="1" outlineLevel="2">
      <c r="D72" s="185" t="str">
        <f>BS_Hist_TA!D71</f>
        <v>Negative Cash</v>
      </c>
      <c r="I72" s="247">
        <f>IF(I$12=0,0,IF(ISERROR(I22),1,IF(ROUND(I22,5)&lt;0,1,0)))</f>
        <v>0</v>
      </c>
      <c r="J72" s="247">
        <f>IF(J$12=0,0,IF(ISERROR(J22),1,IF(ROUND(J22,5)&lt;0,1,0)))</f>
        <v>0</v>
      </c>
      <c r="K72" s="247">
        <f t="shared" ref="K72:Q72" si="34">IF(K$12=0,0,IF(ISERROR(K22),1,IF(ROUND(K22,5)&lt;0,1,0)))</f>
        <v>0</v>
      </c>
      <c r="L72" s="247">
        <f t="shared" si="34"/>
        <v>0</v>
      </c>
      <c r="M72" s="247">
        <f t="shared" si="34"/>
        <v>0</v>
      </c>
      <c r="N72" s="247">
        <f t="shared" si="34"/>
        <v>0</v>
      </c>
      <c r="O72" s="247">
        <f t="shared" si="34"/>
        <v>0</v>
      </c>
      <c r="P72" s="247">
        <f t="shared" si="34"/>
        <v>0</v>
      </c>
      <c r="Q72" s="247">
        <f t="shared" si="34"/>
        <v>0</v>
      </c>
    </row>
    <row r="73" spans="3:17" s="24" customFormat="1" hidden="1" outlineLevel="2">
      <c r="D73" s="185" t="str">
        <f>BS_Hist_TA!D72</f>
        <v>Balancing Item Used</v>
      </c>
      <c r="I73" s="222">
        <f>IF(OR(ISBLANK(I$12),I$12&lt;&gt;0),IF(ISERROR(I63),1,IF(ROUND(I63,5)&lt;&gt;0,1,0)),0)</f>
        <v>0</v>
      </c>
      <c r="J73" s="222">
        <f t="shared" ref="J73:Q73" si="35">IF(OR(ISBLANK(J$12),J$12&lt;&gt;0),IF(ISERROR(J63),1,IF(ROUND(J63,5)&lt;&gt;0,1,0)),0)</f>
        <v>0</v>
      </c>
      <c r="K73" s="222">
        <f t="shared" si="35"/>
        <v>0</v>
      </c>
      <c r="L73" s="222">
        <f t="shared" si="35"/>
        <v>0</v>
      </c>
      <c r="M73" s="222">
        <f t="shared" si="35"/>
        <v>0</v>
      </c>
      <c r="N73" s="222">
        <f t="shared" si="35"/>
        <v>0</v>
      </c>
      <c r="O73" s="222">
        <f t="shared" si="35"/>
        <v>0</v>
      </c>
      <c r="P73" s="222">
        <f t="shared" si="35"/>
        <v>0</v>
      </c>
      <c r="Q73" s="222">
        <f t="shared" si="35"/>
        <v>0</v>
      </c>
    </row>
    <row r="74" spans="3:17" s="24" customFormat="1" collapsed="1">
      <c r="C74" s="185" t="str">
        <f>BS_Hist_TA!C73</f>
        <v>Total Alert Check Result</v>
      </c>
      <c r="H74" s="223">
        <f>IF(ISERROR(SUM(I74:Q74)),0,MIN(SUM(I74:Q74),1))</f>
        <v>0</v>
      </c>
      <c r="I74" s="224">
        <f t="shared" ref="I74:Q74" si="36">MIN(SUM(I72:I73),1)</f>
        <v>0</v>
      </c>
      <c r="J74" s="224">
        <f t="shared" si="36"/>
        <v>0</v>
      </c>
      <c r="K74" s="224">
        <f t="shared" si="36"/>
        <v>0</v>
      </c>
      <c r="L74" s="224">
        <f t="shared" si="36"/>
        <v>0</v>
      </c>
      <c r="M74" s="224">
        <f t="shared" si="36"/>
        <v>0</v>
      </c>
      <c r="N74" s="224">
        <f t="shared" si="36"/>
        <v>0</v>
      </c>
      <c r="O74" s="224">
        <f t="shared" si="36"/>
        <v>0</v>
      </c>
      <c r="P74" s="224">
        <f t="shared" si="36"/>
        <v>0</v>
      </c>
      <c r="Q74" s="224">
        <f t="shared" si="36"/>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I72:Q74">
    <cfRule type="cellIs" dxfId="73" priority="6" stopIfTrue="1" operator="notEqual">
      <formula>0</formula>
    </cfRule>
  </conditionalFormatting>
  <conditionalFormatting sqref="C74">
    <cfRule type="expression" dxfId="72" priority="4" stopIfTrue="1">
      <formula>H74&lt;&gt;0</formula>
    </cfRule>
  </conditionalFormatting>
  <conditionalFormatting sqref="H74">
    <cfRule type="cellIs" dxfId="71" priority="9" stopIfTrue="1" operator="notEqual">
      <formula>0</formula>
    </cfRule>
  </conditionalFormatting>
  <conditionalFormatting sqref="I68:Q70">
    <cfRule type="cellIs" dxfId="70" priority="1" stopIfTrue="1" operator="notEqual">
      <formula>0</formula>
    </cfRule>
  </conditionalFormatting>
  <conditionalFormatting sqref="I20:Q66">
    <cfRule type="expression" dxfId="69" priority="11" stopIfTrue="1">
      <formula>AND(NOT(ISBLANK(I$12)),I$12=0)</formula>
    </cfRule>
  </conditionalFormatting>
  <dataValidations count="1">
    <dataValidation type="custom" showErrorMessage="1" errorTitle="Invalid Assumption" error="Assumption must be a number." sqref="I22:Q24 I48:Q50 I39:Q43 I29:Q32 I59:Q64">
      <formula1>NOT(ISERROR(I22/1))</formula1>
    </dataValidation>
  </dataValidations>
  <hyperlinks>
    <hyperlink ref="B3" location="HL_Home" tooltip="Go to Table of Contents" display="HL_Home"/>
    <hyperlink ref="A4" location="$B$14" tooltip="Go to Top of Sheet" display="$B$14"/>
    <hyperlink ref="B4" location="HL_Sheet_Main_29" tooltip="Go to Previous Sheet" display="HL_Sheet_Main_29"/>
    <hyperlink ref="C4" location="HL_Sheet_Main_31" tooltip="Go to Next Sheet" display="HL_Sheet_Main_3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21.xml><?xml version="1.0" encoding="utf-8"?>
<worksheet xmlns="http://schemas.openxmlformats.org/spreadsheetml/2006/main" xmlns:r="http://schemas.openxmlformats.org/officeDocument/2006/relationships">
  <sheetPr codeName="Sheet22">
    <pageSetUpPr autoPageBreaks="0"/>
  </sheetPr>
  <dimension ref="A1:R6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3" max="17" width="12.83203125" customWidth="1"/>
    <col min="18" max="18" width="12.83203125" collapsed="1"/>
  </cols>
  <sheetData>
    <row r="1" spans="1:17" ht="18">
      <c r="B1" s="1" t="s">
        <v>538</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IF(TS_Data_Final_Stub,"Period End Date",IF(TS_Pers_In_Yr=1,"",TS_Per_Type_Name&amp;" Ending"))</f>
        <v/>
      </c>
      <c r="J6" s="208" t="str">
        <f t="shared" ref="J6:Q6" si="0">IF(J12=0,IF(TS_Data_Final_Stub,"- ",IF(TS_Pers_In_Yr=1,"",0)),IF(TS_Data_Final_Stub,J9,IF(TS_Pers_In_Yr=1,"",LEFT(INDEX(LU_Mth_Names,MONTH(J9)),3)&amp;"-"&amp;RIGHT(YEAR(J9),2))&amp;" "))</f>
        <v xml:space="preserve"> </v>
      </c>
      <c r="K6" s="208" t="str">
        <f t="shared" si="0"/>
        <v xml:space="preserve"> </v>
      </c>
      <c r="L6" s="208" t="str">
        <f t="shared" si="0"/>
        <v xml:space="preserve"> </v>
      </c>
      <c r="M6" s="208" t="str">
        <f t="shared" si="0"/>
        <v/>
      </c>
      <c r="N6" s="208" t="str">
        <f t="shared" si="0"/>
        <v/>
      </c>
      <c r="O6" s="208" t="str">
        <f t="shared" si="0"/>
        <v/>
      </c>
      <c r="P6" s="208" t="str">
        <f t="shared" si="0"/>
        <v/>
      </c>
      <c r="Q6" s="208" t="str">
        <f t="shared" si="0"/>
        <v/>
      </c>
    </row>
    <row r="7" spans="1:17">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 </v>
      </c>
      <c r="N7" s="90" t="str">
        <f t="shared" si="1"/>
        <v xml:space="preserve">- </v>
      </c>
      <c r="O7" s="90" t="str">
        <f t="shared" si="1"/>
        <v xml:space="preserve">- </v>
      </c>
      <c r="P7" s="90" t="str">
        <f t="shared" si="1"/>
        <v xml:space="preserve">- </v>
      </c>
      <c r="Q7" s="90" t="str">
        <f t="shared" si="1"/>
        <v xml:space="preserve">- </v>
      </c>
    </row>
    <row r="8" spans="1:17" hidden="1" outlineLevel="2">
      <c r="B8" s="186" t="s">
        <v>221</v>
      </c>
      <c r="J8" s="85">
        <f t="shared" ref="J8:Q8" si="2">IF(J12=0,0,IF(J12=1,TS_Start_Date,I9+1))</f>
        <v>40179</v>
      </c>
      <c r="K8" s="85">
        <f t="shared" si="2"/>
        <v>40544</v>
      </c>
      <c r="L8" s="85">
        <f t="shared" si="2"/>
        <v>40909</v>
      </c>
      <c r="M8" s="85">
        <f t="shared" si="2"/>
        <v>0</v>
      </c>
      <c r="N8" s="85">
        <f t="shared" si="2"/>
        <v>0</v>
      </c>
      <c r="O8" s="85">
        <f t="shared" si="2"/>
        <v>0</v>
      </c>
      <c r="P8" s="85">
        <f t="shared" si="2"/>
        <v>0</v>
      </c>
      <c r="Q8" s="85">
        <f t="shared" si="2"/>
        <v>0</v>
      </c>
    </row>
    <row r="9" spans="1:17" hidden="1" outlineLevel="2">
      <c r="B9" s="186" t="s">
        <v>222</v>
      </c>
      <c r="J9" s="85">
        <f t="shared" ref="J9:Q9" si="3">IF(J12=0,0,MIN(TS_Data_End_Date,IF(J8&lt;=TS_Start_Date,TS_Per_1_End_Date,
IF(TS_Mth_End,EOMONTH(EDATE(TS_Per_1_FY_Start_Date,(TS_Per_1_Number+J12-1)*TS_Mths_In_Per-1),0),
EDATE(TS_Per_1_FY_Start_Date,(TS_Per_1_Number+J12-1)*TS_Mths_In_Per)-1))))</f>
        <v>40543</v>
      </c>
      <c r="K9" s="85">
        <f t="shared" si="3"/>
        <v>40908</v>
      </c>
      <c r="L9" s="85">
        <f t="shared" si="3"/>
        <v>41274</v>
      </c>
      <c r="M9" s="85">
        <f t="shared" si="3"/>
        <v>0</v>
      </c>
      <c r="N9" s="85">
        <f t="shared" si="3"/>
        <v>0</v>
      </c>
      <c r="O9" s="85">
        <f t="shared" si="3"/>
        <v>0</v>
      </c>
      <c r="P9" s="85">
        <f t="shared" si="3"/>
        <v>0</v>
      </c>
      <c r="Q9" s="85">
        <f t="shared" si="3"/>
        <v>0</v>
      </c>
    </row>
    <row r="10" spans="1:17" hidden="1" outlineLevel="2">
      <c r="B10" s="186" t="s">
        <v>219</v>
      </c>
      <c r="J10" s="209">
        <f t="shared" ref="J10:Q10" si="4">IF(J12=0,0,YEAR(TS_Per_1_FY_End_Date)+INT((TS_Per_1_Number+J12-2)/TS_Pers_In_Yr))</f>
        <v>2010</v>
      </c>
      <c r="K10" s="209">
        <f t="shared" si="4"/>
        <v>2011</v>
      </c>
      <c r="L10" s="209">
        <f t="shared" si="4"/>
        <v>2012</v>
      </c>
      <c r="M10" s="209">
        <f t="shared" si="4"/>
        <v>0</v>
      </c>
      <c r="N10" s="209">
        <f t="shared" si="4"/>
        <v>0</v>
      </c>
      <c r="O10" s="209">
        <f t="shared" si="4"/>
        <v>0</v>
      </c>
      <c r="P10" s="209">
        <f t="shared" si="4"/>
        <v>0</v>
      </c>
      <c r="Q10" s="209">
        <f t="shared" si="4"/>
        <v>0</v>
      </c>
    </row>
    <row r="11" spans="1:17" hidden="1" outlineLevel="2">
      <c r="B11" s="186" t="s">
        <v>220</v>
      </c>
      <c r="J11" s="87" t="str">
        <f t="shared" ref="J11:Q11" si="5">IF(J12=0,"-",IF(TS_Pers_In_Yr=1,Yr_Name,TS_Per_Type_Prefix&amp;IF(MOD(TS_Per_1_Number+J12-1,TS_Pers_In_Yr)=0,TS_Pers_In_Yr,MOD(TS_Per_1_Number+J12-1,TS_Pers_In_Yr))))&amp;"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 </v>
      </c>
      <c r="N11" s="87" t="str">
        <f t="shared" si="5"/>
        <v xml:space="preserve">- </v>
      </c>
      <c r="O11" s="87" t="str">
        <f t="shared" si="5"/>
        <v xml:space="preserve">- </v>
      </c>
      <c r="P11" s="87" t="str">
        <f t="shared" si="5"/>
        <v xml:space="preserve">- </v>
      </c>
      <c r="Q11" s="87" t="str">
        <f t="shared" si="5"/>
        <v xml:space="preserve">- </v>
      </c>
    </row>
    <row r="12" spans="1:17" hidden="1" outlineLevel="2">
      <c r="B12" s="186" t="s">
        <v>223</v>
      </c>
      <c r="J12" s="88">
        <f t="shared" ref="J12:Q12" si="6">IF(TS_Data_Total_Pers=0,0,IF(COLUMN(J12)=COLUMN($J12),1,IF(I12=0,0,IF(I9=TS_Data_End_Date,0,I12+1))))</f>
        <v>1</v>
      </c>
      <c r="K12" s="88">
        <f t="shared" si="6"/>
        <v>2</v>
      </c>
      <c r="L12" s="88">
        <f t="shared" si="6"/>
        <v>3</v>
      </c>
      <c r="M12" s="88">
        <f t="shared" si="6"/>
        <v>0</v>
      </c>
      <c r="N12" s="88">
        <f t="shared" si="6"/>
        <v>0</v>
      </c>
      <c r="O12" s="88">
        <f t="shared" si="6"/>
        <v>0</v>
      </c>
      <c r="P12" s="88">
        <f t="shared" si="6"/>
        <v>0</v>
      </c>
      <c r="Q12" s="88">
        <f t="shared" si="6"/>
        <v>0</v>
      </c>
    </row>
    <row r="13" spans="1:17" hidden="1" outlineLevel="2">
      <c r="B13" s="91" t="s">
        <v>387</v>
      </c>
      <c r="C13" s="17"/>
      <c r="D13" s="17"/>
      <c r="E13" s="17"/>
      <c r="F13" s="17"/>
      <c r="G13" s="17"/>
      <c r="H13" s="17"/>
      <c r="I13" s="17"/>
      <c r="J13" s="210" t="str">
        <f>IF(J12=0,"- ",J10&amp;"-"&amp;J11)</f>
        <v xml:space="preserve">2010-Year </v>
      </c>
      <c r="K13" s="210" t="str">
        <f t="shared" ref="K13:Q13" si="7">IF(K12=0,"- ",K10&amp;"-"&amp;K11)</f>
        <v xml:space="preserve">2011-Year </v>
      </c>
      <c r="L13" s="210" t="str">
        <f t="shared" si="7"/>
        <v xml:space="preserve">2012-Year </v>
      </c>
      <c r="M13" s="210" t="str">
        <f t="shared" si="7"/>
        <v xml:space="preserve">- </v>
      </c>
      <c r="N13" s="210" t="str">
        <f t="shared" si="7"/>
        <v xml:space="preserve">- </v>
      </c>
      <c r="O13" s="210" t="str">
        <f t="shared" si="7"/>
        <v xml:space="preserve">- </v>
      </c>
      <c r="P13" s="210" t="str">
        <f t="shared" si="7"/>
        <v xml:space="preserve">- </v>
      </c>
      <c r="Q13" s="210" t="str">
        <f t="shared" si="7"/>
        <v xml:space="preserve">- </v>
      </c>
    </row>
    <row r="14" spans="1:17" collapsed="1"/>
    <row r="16" spans="1:17" s="24" customFormat="1" ht="12.75">
      <c r="B16" s="215" t="str">
        <f>CFS_Hist_TA!B16</f>
        <v>Cash Flow Statement</v>
      </c>
    </row>
    <row r="17" spans="3:17" s="24" customFormat="1"/>
    <row r="18" spans="3:17" s="24" customFormat="1" ht="11.25">
      <c r="C18" s="216" t="str">
        <f>CFS_Hist_TA!C18</f>
        <v>Cash Flow from Operating Activities</v>
      </c>
    </row>
    <row r="19" spans="3:17" s="24" customFormat="1"/>
    <row r="20" spans="3:17" s="24" customFormat="1" hidden="1" outlineLevel="2">
      <c r="E20" s="203" t="str">
        <f>CFS_Hist_TA!E20</f>
        <v>Revenue</v>
      </c>
      <c r="J20" s="219">
        <f>IF(J$12=0,0,CFS_Hist_TA!J20)</f>
        <v>125</v>
      </c>
      <c r="K20" s="219">
        <f>IF(K$12=0,0,CFS_Hist_TA!K20)</f>
        <v>128.125</v>
      </c>
      <c r="L20" s="219">
        <f>IF(L$12=0,0,CFS_Hist_TA!L20)</f>
        <v>131.328125</v>
      </c>
      <c r="M20" s="219">
        <f>IF(M$12=0,0,CFS_Hist_TA!M20)</f>
        <v>0</v>
      </c>
      <c r="N20" s="219">
        <f>IF(N$12=0,0,CFS_Hist_TA!N20)</f>
        <v>0</v>
      </c>
      <c r="O20" s="219">
        <f>IF(O$12=0,0,CFS_Hist_TA!O20)</f>
        <v>0</v>
      </c>
      <c r="P20" s="219">
        <f>IF(P$12=0,0,CFS_Hist_TA!P20)</f>
        <v>0</v>
      </c>
      <c r="Q20" s="219">
        <f>IF(Q$12=0,0,CFS_Hist_TA!Q20)</f>
        <v>0</v>
      </c>
    </row>
    <row r="21" spans="3:17" s="24" customFormat="1" hidden="1" outlineLevel="2">
      <c r="E21" s="203" t="str">
        <f>CFS_Hist_TA!E21</f>
        <v>Decrease in Accounts Receivable</v>
      </c>
      <c r="J21" s="176">
        <f>IF(J$12=0,0,CFS_Hist_TA!J21)</f>
        <v>10.726027397260282</v>
      </c>
      <c r="K21" s="176">
        <f>IF(K$12=0,0,CFS_Hist_TA!K21)</f>
        <v>-0.25684931506850717</v>
      </c>
      <c r="L21" s="176">
        <f>IF(L$12=0,0,CFS_Hist_TA!L21)</f>
        <v>-0.23377849202785228</v>
      </c>
      <c r="M21" s="176">
        <f>IF(M$12=0,0,CFS_Hist_TA!M21)</f>
        <v>0</v>
      </c>
      <c r="N21" s="176">
        <f>IF(N$12=0,0,CFS_Hist_TA!N21)</f>
        <v>0</v>
      </c>
      <c r="O21" s="176">
        <f>IF(O$12=0,0,CFS_Hist_TA!O21)</f>
        <v>0</v>
      </c>
      <c r="P21" s="176">
        <f>IF(P$12=0,0,CFS_Hist_TA!P21)</f>
        <v>0</v>
      </c>
      <c r="Q21" s="176">
        <f>IF(Q$12=0,0,CFS_Hist_TA!Q21)</f>
        <v>0</v>
      </c>
    </row>
    <row r="22" spans="3:17" s="24" customFormat="1" collapsed="1">
      <c r="D22" s="203" t="str">
        <f>CFS_Hist_TA!D22</f>
        <v>Cash Receipts</v>
      </c>
      <c r="J22" s="219">
        <f t="shared" ref="J22" si="8">J20+J21</f>
        <v>135.72602739726028</v>
      </c>
      <c r="K22" s="219">
        <f t="shared" ref="K22:Q22" si="9">K20+K21</f>
        <v>127.86815068493149</v>
      </c>
      <c r="L22" s="219">
        <f t="shared" si="9"/>
        <v>131.09434650797215</v>
      </c>
      <c r="M22" s="219">
        <f t="shared" si="9"/>
        <v>0</v>
      </c>
      <c r="N22" s="219">
        <f t="shared" si="9"/>
        <v>0</v>
      </c>
      <c r="O22" s="219">
        <f t="shared" si="9"/>
        <v>0</v>
      </c>
      <c r="P22" s="219">
        <f t="shared" si="9"/>
        <v>0</v>
      </c>
      <c r="Q22" s="219">
        <f t="shared" si="9"/>
        <v>0</v>
      </c>
    </row>
    <row r="23" spans="3:17" s="24" customFormat="1" hidden="1" outlineLevel="2">
      <c r="D23" s="185"/>
      <c r="E23" s="203" t="str">
        <f>CFS_Hist_TA!E23</f>
        <v>Cost of Goods Sold</v>
      </c>
      <c r="J23" s="219">
        <f>IF(J$12=0,0,CFS_Hist_TA!J23)</f>
        <v>-25</v>
      </c>
      <c r="K23" s="219">
        <f>IF(K$12=0,0,CFS_Hist_TA!K23)</f>
        <v>-25.624999999999996</v>
      </c>
      <c r="L23" s="219">
        <f>IF(L$12=0,0,CFS_Hist_TA!L23)</f>
        <v>-26.265624999999993</v>
      </c>
      <c r="M23" s="219">
        <f>IF(M$12=0,0,CFS_Hist_TA!M23)</f>
        <v>0</v>
      </c>
      <c r="N23" s="219">
        <f>IF(N$12=0,0,CFS_Hist_TA!N23)</f>
        <v>0</v>
      </c>
      <c r="O23" s="219">
        <f>IF(O$12=0,0,CFS_Hist_TA!O23)</f>
        <v>0</v>
      </c>
      <c r="P23" s="219">
        <f>IF(P$12=0,0,CFS_Hist_TA!P23)</f>
        <v>0</v>
      </c>
      <c r="Q23" s="219">
        <f>IF(Q$12=0,0,CFS_Hist_TA!Q23)</f>
        <v>0</v>
      </c>
    </row>
    <row r="24" spans="3:17" s="24" customFormat="1" hidden="1" outlineLevel="2">
      <c r="D24" s="185"/>
      <c r="E24" s="203" t="str">
        <f>CFS_Hist_TA!E24</f>
        <v>Operating Expenditure</v>
      </c>
      <c r="J24" s="219">
        <f>IF(J$12=0,0,CFS_Hist_TA!J24)</f>
        <v>-40</v>
      </c>
      <c r="K24" s="219">
        <f>IF(K$12=0,0,CFS_Hist_TA!K24)</f>
        <v>-41</v>
      </c>
      <c r="L24" s="219">
        <f>IF(L$12=0,0,CFS_Hist_TA!L24)</f>
        <v>-42.024999999999999</v>
      </c>
      <c r="M24" s="219">
        <f>IF(M$12=0,0,CFS_Hist_TA!M24)</f>
        <v>0</v>
      </c>
      <c r="N24" s="219">
        <f>IF(N$12=0,0,CFS_Hist_TA!N24)</f>
        <v>0</v>
      </c>
      <c r="O24" s="219">
        <f>IF(O$12=0,0,CFS_Hist_TA!O24)</f>
        <v>0</v>
      </c>
      <c r="P24" s="219">
        <f>IF(P$12=0,0,CFS_Hist_TA!P24)</f>
        <v>0</v>
      </c>
      <c r="Q24" s="219">
        <f>IF(Q$12=0,0,CFS_Hist_TA!Q24)</f>
        <v>0</v>
      </c>
    </row>
    <row r="25" spans="3:17" s="24" customFormat="1" hidden="1" outlineLevel="2">
      <c r="D25" s="185"/>
      <c r="E25" s="203" t="str">
        <f>CFS_Hist_TA!E25</f>
        <v>Increase in Accounts Payable</v>
      </c>
      <c r="J25" s="176">
        <f>IF(J$12=0,0,CFS_Hist_TA!J25)</f>
        <v>-7.9863013698630141</v>
      </c>
      <c r="K25" s="176">
        <f>IF(K$12=0,0,CFS_Hist_TA!K25)</f>
        <v>0.20034246575342252</v>
      </c>
      <c r="L25" s="176">
        <f>IF(L$12=0,0,CFS_Hist_TA!L25)</f>
        <v>0.18234722378171853</v>
      </c>
      <c r="M25" s="176">
        <f>IF(M$12=0,0,CFS_Hist_TA!M25)</f>
        <v>0</v>
      </c>
      <c r="N25" s="176">
        <f>IF(N$12=0,0,CFS_Hist_TA!N25)</f>
        <v>0</v>
      </c>
      <c r="O25" s="176">
        <f>IF(O$12=0,0,CFS_Hist_TA!O25)</f>
        <v>0</v>
      </c>
      <c r="P25" s="176">
        <f>IF(P$12=0,0,CFS_Hist_TA!P25)</f>
        <v>0</v>
      </c>
      <c r="Q25" s="176">
        <f>IF(Q$12=0,0,CFS_Hist_TA!Q25)</f>
        <v>0</v>
      </c>
    </row>
    <row r="26" spans="3:17" s="24" customFormat="1" collapsed="1">
      <c r="D26" s="203" t="str">
        <f>CFS_Hist_TA!D26</f>
        <v>Cash Payments</v>
      </c>
      <c r="J26" s="219">
        <f t="shared" ref="J26" si="10">SUM(J23:J25)</f>
        <v>-72.986301369863014</v>
      </c>
      <c r="K26" s="219">
        <f t="shared" ref="K26:Q26" si="11">SUM(K23:K25)</f>
        <v>-66.424657534246577</v>
      </c>
      <c r="L26" s="219">
        <f t="shared" si="11"/>
        <v>-68.108277776218273</v>
      </c>
      <c r="M26" s="219">
        <f t="shared" si="11"/>
        <v>0</v>
      </c>
      <c r="N26" s="219">
        <f t="shared" si="11"/>
        <v>0</v>
      </c>
      <c r="O26" s="219">
        <f t="shared" si="11"/>
        <v>0</v>
      </c>
      <c r="P26" s="219">
        <f t="shared" si="11"/>
        <v>0</v>
      </c>
      <c r="Q26" s="219">
        <f t="shared" si="11"/>
        <v>0</v>
      </c>
    </row>
    <row r="27" spans="3:17" s="24" customFormat="1">
      <c r="D27" s="203" t="str">
        <f>CFS_Hist_TA!D27</f>
        <v>Interest Paid</v>
      </c>
      <c r="J27" s="219">
        <f>IF(J$12=0,0,CFS_Hist_TA!J27)</f>
        <v>-3.25</v>
      </c>
      <c r="K27" s="219">
        <f>IF(K$12=0,0,CFS_Hist_TA!K27)</f>
        <v>-3.25</v>
      </c>
      <c r="L27" s="219">
        <f>IF(L$12=0,0,CFS_Hist_TA!L27)</f>
        <v>-3.25</v>
      </c>
      <c r="M27" s="219">
        <f>IF(M$12=0,0,CFS_Hist_TA!M27)</f>
        <v>0</v>
      </c>
      <c r="N27" s="219">
        <f>IF(N$12=0,0,CFS_Hist_TA!N27)</f>
        <v>0</v>
      </c>
      <c r="O27" s="219">
        <f>IF(O$12=0,0,CFS_Hist_TA!O27)</f>
        <v>0</v>
      </c>
      <c r="P27" s="219">
        <f>IF(P$12=0,0,CFS_Hist_TA!P27)</f>
        <v>0</v>
      </c>
      <c r="Q27" s="219">
        <f>IF(Q$12=0,0,CFS_Hist_TA!Q27)</f>
        <v>0</v>
      </c>
    </row>
    <row r="28" spans="3:17" s="24" customFormat="1">
      <c r="D28" s="203" t="str">
        <f>CFS_Hist_TA!D28</f>
        <v>Tax Paid</v>
      </c>
      <c r="J28" s="219">
        <f>IF(J$12=0,0,CFS_Hist_TA!J28)</f>
        <v>-3.5</v>
      </c>
      <c r="K28" s="219">
        <f>IF(K$12=0,0,CFS_Hist_TA!K28)</f>
        <v>-12.7875</v>
      </c>
      <c r="L28" s="219">
        <f>IF(L$12=0,0,CFS_Hist_TA!L28)</f>
        <v>-13.131562499999999</v>
      </c>
      <c r="M28" s="219">
        <f>IF(M$12=0,0,CFS_Hist_TA!M28)</f>
        <v>0</v>
      </c>
      <c r="N28" s="219">
        <f>IF(N$12=0,0,CFS_Hist_TA!N28)</f>
        <v>0</v>
      </c>
      <c r="O28" s="219">
        <f>IF(O$12=0,0,CFS_Hist_TA!O28)</f>
        <v>0</v>
      </c>
      <c r="P28" s="219">
        <f>IF(P$12=0,0,CFS_Hist_TA!P28)</f>
        <v>0</v>
      </c>
      <c r="Q28" s="219">
        <f>IF(Q$12=0,0,CFS_Hist_TA!Q28)</f>
        <v>0</v>
      </c>
    </row>
    <row r="29" spans="3:17" s="24" customFormat="1">
      <c r="D29" s="203" t="str">
        <f>CFS_Hist_TA!D29</f>
        <v>Decrease in Other Current Assets</v>
      </c>
      <c r="J29" s="219">
        <f>IF(J$12=0,0,CFS_Hist_TA!J29)</f>
        <v>-1</v>
      </c>
      <c r="K29" s="219">
        <f>IF(K$12=0,0,CFS_Hist_TA!K29)</f>
        <v>-1</v>
      </c>
      <c r="L29" s="219">
        <f>IF(L$12=0,0,CFS_Hist_TA!L29)</f>
        <v>-1</v>
      </c>
      <c r="M29" s="219">
        <f>IF(M$12=0,0,CFS_Hist_TA!M29)</f>
        <v>0</v>
      </c>
      <c r="N29" s="219">
        <f>IF(N$12=0,0,CFS_Hist_TA!N29)</f>
        <v>0</v>
      </c>
      <c r="O29" s="219">
        <f>IF(O$12=0,0,CFS_Hist_TA!O29)</f>
        <v>0</v>
      </c>
      <c r="P29" s="219">
        <f>IF(P$12=0,0,CFS_Hist_TA!P29)</f>
        <v>0</v>
      </c>
      <c r="Q29" s="219">
        <f>IF(Q$12=0,0,CFS_Hist_TA!Q29)</f>
        <v>0</v>
      </c>
    </row>
    <row r="30" spans="3:17" s="24" customFormat="1">
      <c r="D30" s="203" t="str">
        <f>CFS_Hist_TA!D30</f>
        <v>Increase in Other Current Liabilities</v>
      </c>
      <c r="J30" s="219">
        <f>IF(J$12=0,0,CFS_Hist_TA!J30)</f>
        <v>1</v>
      </c>
      <c r="K30" s="219">
        <f>IF(K$12=0,0,CFS_Hist_TA!K30)</f>
        <v>1</v>
      </c>
      <c r="L30" s="219">
        <f>IF(L$12=0,0,CFS_Hist_TA!L30)</f>
        <v>1</v>
      </c>
      <c r="M30" s="219">
        <f>IF(M$12=0,0,CFS_Hist_TA!M30)</f>
        <v>0</v>
      </c>
      <c r="N30" s="219">
        <f>IF(N$12=0,0,CFS_Hist_TA!N30)</f>
        <v>0</v>
      </c>
      <c r="O30" s="219">
        <f>IF(O$12=0,0,CFS_Hist_TA!O30)</f>
        <v>0</v>
      </c>
      <c r="P30" s="219">
        <f>IF(P$12=0,0,CFS_Hist_TA!P30)</f>
        <v>0</v>
      </c>
      <c r="Q30" s="219">
        <f>IF(Q$12=0,0,CFS_Hist_TA!Q30)</f>
        <v>0</v>
      </c>
    </row>
    <row r="31" spans="3:17" s="24" customFormat="1">
      <c r="D31" s="179" t="str">
        <f>CFS_Hist_TA!D31</f>
        <v>Net Cash Flow from Operating Activities</v>
      </c>
      <c r="J31" s="211">
        <f t="shared" ref="J31" si="12">J22+J26+SUM(J27:J30)</f>
        <v>55.989726027397268</v>
      </c>
      <c r="K31" s="211">
        <f t="shared" ref="K31:Q31" si="13">K22+K26+SUM(K27:K30)</f>
        <v>45.405993150684914</v>
      </c>
      <c r="L31" s="211">
        <f t="shared" si="13"/>
        <v>46.604506231753874</v>
      </c>
      <c r="M31" s="211">
        <f t="shared" si="13"/>
        <v>0</v>
      </c>
      <c r="N31" s="211">
        <f t="shared" si="13"/>
        <v>0</v>
      </c>
      <c r="O31" s="211">
        <f t="shared" si="13"/>
        <v>0</v>
      </c>
      <c r="P31" s="211">
        <f t="shared" si="13"/>
        <v>0</v>
      </c>
      <c r="Q31" s="211">
        <f t="shared" si="13"/>
        <v>0</v>
      </c>
    </row>
    <row r="32" spans="3:17" s="24" customFormat="1">
      <c r="J32" s="143"/>
      <c r="K32" s="143"/>
      <c r="L32" s="143"/>
      <c r="M32" s="143"/>
      <c r="N32" s="143"/>
      <c r="O32" s="143"/>
      <c r="P32" s="143"/>
      <c r="Q32" s="143"/>
    </row>
    <row r="33" spans="3:17" s="24" customFormat="1" ht="11.25">
      <c r="C33" s="216" t="str">
        <f>CFS_Hist_TA!C33</f>
        <v>Cash Flow from Investing Activities</v>
      </c>
      <c r="J33" s="143"/>
      <c r="K33" s="143"/>
      <c r="L33" s="143"/>
      <c r="M33" s="143"/>
      <c r="N33" s="143"/>
      <c r="O33" s="143"/>
      <c r="P33" s="143"/>
      <c r="Q33" s="143"/>
    </row>
    <row r="34" spans="3:17" s="24" customFormat="1">
      <c r="J34" s="143"/>
      <c r="K34" s="143"/>
      <c r="L34" s="143"/>
      <c r="M34" s="143"/>
      <c r="N34" s="143"/>
      <c r="O34" s="143"/>
      <c r="P34" s="143"/>
      <c r="Q34" s="143"/>
    </row>
    <row r="35" spans="3:17" s="24" customFormat="1">
      <c r="D35" s="203" t="str">
        <f>CFS_Hist_TA!D35</f>
        <v>Capital Expenditure - Assets</v>
      </c>
      <c r="J35" s="219">
        <f>IF(J$12=0,0,CFS_Hist_TA!J35)</f>
        <v>-15</v>
      </c>
      <c r="K35" s="219">
        <f>IF(K$12=0,0,CFS_Hist_TA!K35)</f>
        <v>-15.374999999999998</v>
      </c>
      <c r="L35" s="219">
        <f>IF(L$12=0,0,CFS_Hist_TA!L35)</f>
        <v>-15.759374999999997</v>
      </c>
      <c r="M35" s="219">
        <f>IF(M$12=0,0,CFS_Hist_TA!M35)</f>
        <v>0</v>
      </c>
      <c r="N35" s="219">
        <f>IF(N$12=0,0,CFS_Hist_TA!N35)</f>
        <v>0</v>
      </c>
      <c r="O35" s="219">
        <f>IF(O$12=0,0,CFS_Hist_TA!O35)</f>
        <v>0</v>
      </c>
      <c r="P35" s="219">
        <f>IF(P$12=0,0,CFS_Hist_TA!P35)</f>
        <v>0</v>
      </c>
      <c r="Q35" s="219">
        <f>IF(Q$12=0,0,CFS_Hist_TA!Q35)</f>
        <v>0</v>
      </c>
    </row>
    <row r="36" spans="3:17" s="24" customFormat="1">
      <c r="D36" s="203" t="str">
        <f>CFS_Hist_TA!D36</f>
        <v>Capital Expenditure - Intangibles</v>
      </c>
      <c r="J36" s="219">
        <f>IF(J$12=0,0,CFS_Hist_TA!J36)</f>
        <v>-2.5</v>
      </c>
      <c r="K36" s="219">
        <f>IF(K$12=0,0,CFS_Hist_TA!K36)</f>
        <v>-2.5625</v>
      </c>
      <c r="L36" s="219">
        <f>IF(L$12=0,0,CFS_Hist_TA!L36)</f>
        <v>-2.6265624999999999</v>
      </c>
      <c r="M36" s="219">
        <f>IF(M$12=0,0,CFS_Hist_TA!M36)</f>
        <v>0</v>
      </c>
      <c r="N36" s="219">
        <f>IF(N$12=0,0,CFS_Hist_TA!N36)</f>
        <v>0</v>
      </c>
      <c r="O36" s="219">
        <f>IF(O$12=0,0,CFS_Hist_TA!O36)</f>
        <v>0</v>
      </c>
      <c r="P36" s="219">
        <f>IF(P$12=0,0,CFS_Hist_TA!P36)</f>
        <v>0</v>
      </c>
      <c r="Q36" s="219">
        <f>IF(Q$12=0,0,CFS_Hist_TA!Q36)</f>
        <v>0</v>
      </c>
    </row>
    <row r="37" spans="3:17" s="24" customFormat="1">
      <c r="D37" s="203" t="str">
        <f>CFS_Hist_TA!D37</f>
        <v>Decrease in Other Non-Current Assets</v>
      </c>
      <c r="J37" s="219">
        <f>IF(J$12=0,0,CFS_Hist_TA!J37)</f>
        <v>-1</v>
      </c>
      <c r="K37" s="219">
        <f>IF(K$12=0,0,CFS_Hist_TA!K37)</f>
        <v>-1</v>
      </c>
      <c r="L37" s="219">
        <f>IF(L$12=0,0,CFS_Hist_TA!L37)</f>
        <v>-1</v>
      </c>
      <c r="M37" s="219">
        <f>IF(M$12=0,0,CFS_Hist_TA!M37)</f>
        <v>0</v>
      </c>
      <c r="N37" s="219">
        <f>IF(N$12=0,0,CFS_Hist_TA!N37)</f>
        <v>0</v>
      </c>
      <c r="O37" s="219">
        <f>IF(O$12=0,0,CFS_Hist_TA!O37)</f>
        <v>0</v>
      </c>
      <c r="P37" s="219">
        <f>IF(P$12=0,0,CFS_Hist_TA!P37)</f>
        <v>0</v>
      </c>
      <c r="Q37" s="219">
        <f>IF(Q$12=0,0,CFS_Hist_TA!Q37)</f>
        <v>0</v>
      </c>
    </row>
    <row r="38" spans="3:17" s="24" customFormat="1">
      <c r="D38" s="203" t="str">
        <f>CFS_Hist_TA!D38</f>
        <v>Increase in Other Non-Current Liabilities</v>
      </c>
      <c r="J38" s="219">
        <f>IF(J$12=0,0,CFS_Hist_TA!J38)</f>
        <v>1</v>
      </c>
      <c r="K38" s="219">
        <f>IF(K$12=0,0,CFS_Hist_TA!K38)</f>
        <v>1</v>
      </c>
      <c r="L38" s="219">
        <f>IF(L$12=0,0,CFS_Hist_TA!L38)</f>
        <v>1</v>
      </c>
      <c r="M38" s="219">
        <f>IF(M$12=0,0,CFS_Hist_TA!M38)</f>
        <v>0</v>
      </c>
      <c r="N38" s="219">
        <f>IF(N$12=0,0,CFS_Hist_TA!N38)</f>
        <v>0</v>
      </c>
      <c r="O38" s="219">
        <f>IF(O$12=0,0,CFS_Hist_TA!O38)</f>
        <v>0</v>
      </c>
      <c r="P38" s="219">
        <f>IF(P$12=0,0,CFS_Hist_TA!P38)</f>
        <v>0</v>
      </c>
      <c r="Q38" s="219">
        <f>IF(Q$12=0,0,CFS_Hist_TA!Q38)</f>
        <v>0</v>
      </c>
    </row>
    <row r="39" spans="3:17" s="24" customFormat="1">
      <c r="D39" s="179" t="str">
        <f>CFS_Hist_TA!D39</f>
        <v>Net Cash Flow from Investing Activities</v>
      </c>
      <c r="J39" s="211">
        <f t="shared" ref="J39" si="14">SUM(J35:J38)</f>
        <v>-17.5</v>
      </c>
      <c r="K39" s="211">
        <f t="shared" ref="K39:Q39" si="15">SUM(K35:K38)</f>
        <v>-17.9375</v>
      </c>
      <c r="L39" s="211">
        <f t="shared" si="15"/>
        <v>-18.385937499999997</v>
      </c>
      <c r="M39" s="211">
        <f t="shared" si="15"/>
        <v>0</v>
      </c>
      <c r="N39" s="211">
        <f t="shared" si="15"/>
        <v>0</v>
      </c>
      <c r="O39" s="211">
        <f t="shared" si="15"/>
        <v>0</v>
      </c>
      <c r="P39" s="211">
        <f t="shared" si="15"/>
        <v>0</v>
      </c>
      <c r="Q39" s="211">
        <f t="shared" si="15"/>
        <v>0</v>
      </c>
    </row>
    <row r="40" spans="3:17" s="24" customFormat="1">
      <c r="J40" s="143"/>
      <c r="K40" s="143"/>
      <c r="L40" s="143"/>
      <c r="M40" s="143"/>
      <c r="N40" s="143"/>
      <c r="O40" s="143"/>
      <c r="P40" s="143"/>
      <c r="Q40" s="143"/>
    </row>
    <row r="41" spans="3:17" s="24" customFormat="1" ht="11.25">
      <c r="C41" s="216" t="str">
        <f>CFS_Hist_TA!C41</f>
        <v>Cash Flow from Financing Activities</v>
      </c>
      <c r="J41" s="143"/>
      <c r="K41" s="143"/>
      <c r="L41" s="143"/>
      <c r="M41" s="143"/>
      <c r="N41" s="143"/>
      <c r="O41" s="143"/>
      <c r="P41" s="143"/>
      <c r="Q41" s="143"/>
    </row>
    <row r="42" spans="3:17" s="24" customFormat="1">
      <c r="J42" s="143"/>
      <c r="K42" s="143"/>
      <c r="L42" s="143"/>
      <c r="M42" s="143"/>
      <c r="N42" s="143"/>
      <c r="O42" s="143"/>
      <c r="P42" s="143"/>
      <c r="Q42" s="143"/>
    </row>
    <row r="43" spans="3:17" s="24" customFormat="1">
      <c r="D43" s="203" t="str">
        <f>CFS_Hist_TA!D43</f>
        <v>Debt Drawdowns</v>
      </c>
      <c r="J43" s="219">
        <f>IF(J$12=0,0,CFS_Hist_TA!J43)</f>
        <v>0</v>
      </c>
      <c r="K43" s="219">
        <f>IF(K$12=0,0,CFS_Hist_TA!K43)</f>
        <v>0</v>
      </c>
      <c r="L43" s="219">
        <f>IF(L$12=0,0,CFS_Hist_TA!L43)</f>
        <v>0</v>
      </c>
      <c r="M43" s="219">
        <f>IF(M$12=0,0,CFS_Hist_TA!M43)</f>
        <v>0</v>
      </c>
      <c r="N43" s="219">
        <f>IF(N$12=0,0,CFS_Hist_TA!N43)</f>
        <v>0</v>
      </c>
      <c r="O43" s="219">
        <f>IF(O$12=0,0,CFS_Hist_TA!O43)</f>
        <v>0</v>
      </c>
      <c r="P43" s="219">
        <f>IF(P$12=0,0,CFS_Hist_TA!P43)</f>
        <v>0</v>
      </c>
      <c r="Q43" s="219">
        <f>IF(Q$12=0,0,CFS_Hist_TA!Q43)</f>
        <v>0</v>
      </c>
    </row>
    <row r="44" spans="3:17" s="24" customFormat="1">
      <c r="D44" s="203" t="str">
        <f>CFS_Hist_TA!D44</f>
        <v>Debt Repayments</v>
      </c>
      <c r="J44" s="219">
        <f>IF(J$12=0,0,CFS_Hist_TA!J44)</f>
        <v>0</v>
      </c>
      <c r="K44" s="219">
        <f>IF(K$12=0,0,CFS_Hist_TA!K44)</f>
        <v>0</v>
      </c>
      <c r="L44" s="219">
        <f>IF(L$12=0,0,CFS_Hist_TA!L44)</f>
        <v>0</v>
      </c>
      <c r="M44" s="219">
        <f>IF(M$12=0,0,CFS_Hist_TA!M44)</f>
        <v>0</v>
      </c>
      <c r="N44" s="219">
        <f>IF(N$12=0,0,CFS_Hist_TA!N44)</f>
        <v>0</v>
      </c>
      <c r="O44" s="219">
        <f>IF(O$12=0,0,CFS_Hist_TA!O44)</f>
        <v>0</v>
      </c>
      <c r="P44" s="219">
        <f>IF(P$12=0,0,CFS_Hist_TA!P44)</f>
        <v>0</v>
      </c>
      <c r="Q44" s="219">
        <f>IF(Q$12=0,0,CFS_Hist_TA!Q44)</f>
        <v>0</v>
      </c>
    </row>
    <row r="45" spans="3:17" s="24" customFormat="1">
      <c r="D45" s="203" t="str">
        <f>CFS_Hist_TA!D45</f>
        <v>Equity Raisings</v>
      </c>
      <c r="J45" s="219">
        <f>IF(J$12=0,0,CFS_Hist_TA!J45)</f>
        <v>0</v>
      </c>
      <c r="K45" s="219">
        <f>IF(K$12=0,0,CFS_Hist_TA!K45)</f>
        <v>0</v>
      </c>
      <c r="L45" s="219">
        <f>IF(L$12=0,0,CFS_Hist_TA!L45)</f>
        <v>0</v>
      </c>
      <c r="M45" s="219">
        <f>IF(M$12=0,0,CFS_Hist_TA!M45)</f>
        <v>0</v>
      </c>
      <c r="N45" s="219">
        <f>IF(N$12=0,0,CFS_Hist_TA!N45)</f>
        <v>0</v>
      </c>
      <c r="O45" s="219">
        <f>IF(O$12=0,0,CFS_Hist_TA!O45)</f>
        <v>0</v>
      </c>
      <c r="P45" s="219">
        <f>IF(P$12=0,0,CFS_Hist_TA!P45)</f>
        <v>0</v>
      </c>
      <c r="Q45" s="219">
        <f>IF(Q$12=0,0,CFS_Hist_TA!Q45)</f>
        <v>0</v>
      </c>
    </row>
    <row r="46" spans="3:17" s="24" customFormat="1">
      <c r="D46" s="203" t="str">
        <f>CFS_Hist_TA!D46</f>
        <v>Equity Repayments</v>
      </c>
      <c r="J46" s="219">
        <f>IF(J$12=0,0,CFS_Hist_TA!J46)</f>
        <v>0</v>
      </c>
      <c r="K46" s="219">
        <f>IF(K$12=0,0,CFS_Hist_TA!K46)</f>
        <v>0</v>
      </c>
      <c r="L46" s="219">
        <f>IF(L$12=0,0,CFS_Hist_TA!L46)</f>
        <v>0</v>
      </c>
      <c r="M46" s="219">
        <f>IF(M$12=0,0,CFS_Hist_TA!M46)</f>
        <v>0</v>
      </c>
      <c r="N46" s="219">
        <f>IF(N$12=0,0,CFS_Hist_TA!N46)</f>
        <v>0</v>
      </c>
      <c r="O46" s="219">
        <f>IF(O$12=0,0,CFS_Hist_TA!O46)</f>
        <v>0</v>
      </c>
      <c r="P46" s="219">
        <f>IF(P$12=0,0,CFS_Hist_TA!P46)</f>
        <v>0</v>
      </c>
      <c r="Q46" s="219">
        <f>IF(Q$12=0,0,CFS_Hist_TA!Q46)</f>
        <v>0</v>
      </c>
    </row>
    <row r="47" spans="3:17" s="24" customFormat="1">
      <c r="D47" s="203" t="str">
        <f>CFS_Hist_TA!D47</f>
        <v>Dividends Paid During Period</v>
      </c>
      <c r="J47" s="219">
        <f>IF(J$12=0,0,CFS_Hist_TA!J47)</f>
        <v>-14.918749999999999</v>
      </c>
      <c r="K47" s="219">
        <f>IF(K$12=0,0,CFS_Hist_TA!K47)</f>
        <v>-15.32015625</v>
      </c>
      <c r="L47" s="219">
        <f>IF(L$12=0,0,CFS_Hist_TA!L47)</f>
        <v>-15.731597656250003</v>
      </c>
      <c r="M47" s="219">
        <f>IF(M$12=0,0,CFS_Hist_TA!M47)</f>
        <v>0</v>
      </c>
      <c r="N47" s="219">
        <f>IF(N$12=0,0,CFS_Hist_TA!N47)</f>
        <v>0</v>
      </c>
      <c r="O47" s="219">
        <f>IF(O$12=0,0,CFS_Hist_TA!O47)</f>
        <v>0</v>
      </c>
      <c r="P47" s="219">
        <f>IF(P$12=0,0,CFS_Hist_TA!P47)</f>
        <v>0</v>
      </c>
      <c r="Q47" s="219">
        <f>IF(Q$12=0,0,CFS_Hist_TA!Q47)</f>
        <v>0</v>
      </c>
    </row>
    <row r="48" spans="3:17" s="24" customFormat="1">
      <c r="D48" s="203" t="str">
        <f>CFS_Hist_TA!D48</f>
        <v>Increase in Other Equity</v>
      </c>
      <c r="J48" s="219">
        <f>IF(J$12=0,0,CFS_Hist_TA!J48)</f>
        <v>0.1</v>
      </c>
      <c r="K48" s="219">
        <f>IF(K$12=0,0,CFS_Hist_TA!K48)</f>
        <v>0.1</v>
      </c>
      <c r="L48" s="219">
        <f>IF(L$12=0,0,CFS_Hist_TA!L48)</f>
        <v>0.1</v>
      </c>
      <c r="M48" s="219">
        <f>IF(M$12=0,0,CFS_Hist_TA!M48)</f>
        <v>0</v>
      </c>
      <c r="N48" s="219">
        <f>IF(N$12=0,0,CFS_Hist_TA!N48)</f>
        <v>0</v>
      </c>
      <c r="O48" s="219">
        <f>IF(O$12=0,0,CFS_Hist_TA!O48)</f>
        <v>0</v>
      </c>
      <c r="P48" s="219">
        <f>IF(P$12=0,0,CFS_Hist_TA!P48)</f>
        <v>0</v>
      </c>
      <c r="Q48" s="219">
        <f>IF(Q$12=0,0,CFS_Hist_TA!Q48)</f>
        <v>0</v>
      </c>
    </row>
    <row r="49" spans="3:17" s="24" customFormat="1">
      <c r="D49" s="179" t="str">
        <f>CFS_Hist_TA!D49</f>
        <v>Net Cash Flow from Financing Activities</v>
      </c>
      <c r="J49" s="211">
        <f>SUM(J43:J48)</f>
        <v>-14.81875</v>
      </c>
      <c r="K49" s="211">
        <f t="shared" ref="K49:Q49" si="16">SUM(K43:K48)</f>
        <v>-15.22015625</v>
      </c>
      <c r="L49" s="211">
        <f t="shared" si="16"/>
        <v>-15.631597656250003</v>
      </c>
      <c r="M49" s="211">
        <f t="shared" si="16"/>
        <v>0</v>
      </c>
      <c r="N49" s="211">
        <f t="shared" si="16"/>
        <v>0</v>
      </c>
      <c r="O49" s="211">
        <f t="shared" si="16"/>
        <v>0</v>
      </c>
      <c r="P49" s="211">
        <f t="shared" si="16"/>
        <v>0</v>
      </c>
      <c r="Q49" s="211">
        <f t="shared" si="16"/>
        <v>0</v>
      </c>
    </row>
    <row r="50" spans="3:17" s="24" customFormat="1">
      <c r="J50" s="143"/>
      <c r="K50" s="143"/>
      <c r="L50" s="143"/>
      <c r="M50" s="143"/>
      <c r="N50" s="143"/>
      <c r="O50" s="143"/>
      <c r="P50" s="143"/>
      <c r="Q50" s="143"/>
    </row>
    <row r="51" spans="3:17" s="24" customFormat="1" ht="12" thickBot="1">
      <c r="C51" s="216" t="str">
        <f>CFS_Hist_TA!C51</f>
        <v>Net Increase / (Decrease) in Cash Held</v>
      </c>
      <c r="J51" s="213">
        <f t="shared" ref="J51" si="17">J31+J39+J49</f>
        <v>23.670976027397266</v>
      </c>
      <c r="K51" s="213">
        <f t="shared" ref="K51:Q51" si="18">K31+K39+K49</f>
        <v>12.248336900684913</v>
      </c>
      <c r="L51" s="213">
        <f t="shared" si="18"/>
        <v>12.586971075503874</v>
      </c>
      <c r="M51" s="213">
        <f t="shared" si="18"/>
        <v>0</v>
      </c>
      <c r="N51" s="213">
        <f t="shared" si="18"/>
        <v>0</v>
      </c>
      <c r="O51" s="213">
        <f t="shared" si="18"/>
        <v>0</v>
      </c>
      <c r="P51" s="213">
        <f t="shared" si="18"/>
        <v>0</v>
      </c>
      <c r="Q51" s="213">
        <f t="shared" si="18"/>
        <v>0</v>
      </c>
    </row>
    <row r="52" spans="3:17" s="24" customFormat="1" ht="11.25" thickTop="1"/>
    <row r="53" spans="3:17" s="24" customFormat="1">
      <c r="C53" s="179" t="str">
        <f>CFS_Hist_TA!C53</f>
        <v>Notes</v>
      </c>
    </row>
    <row r="54" spans="3:17" s="24" customFormat="1">
      <c r="C54" s="218">
        <f>CFS_Hist_TA!C54</f>
        <v>1</v>
      </c>
      <c r="D54" s="214" t="str">
        <f>"All cash flows are specified in "&amp;INDEX(LU_Denom,DD_TS_Denom)&amp;"."</f>
        <v>All cash flows are specified in $Millions.</v>
      </c>
    </row>
    <row r="55" spans="3:17" s="24" customFormat="1"/>
    <row r="56" spans="3:17" s="24" customFormat="1"/>
    <row r="57" spans="3:17" s="24" customFormat="1"/>
    <row r="58" spans="3:17" s="24" customFormat="1"/>
    <row r="59" spans="3:17" s="24" customFormat="1"/>
    <row r="60" spans="3:17" s="24" customFormat="1"/>
    <row r="61" spans="3:17" s="24" customFormat="1"/>
    <row r="62" spans="3:17" s="24" customFormat="1"/>
    <row r="63" spans="3:17" s="24" customFormat="1"/>
  </sheetData>
  <mergeCells count="1">
    <mergeCell ref="B3:F3"/>
  </mergeCells>
  <conditionalFormatting sqref="J20:Q51">
    <cfRule type="expression" dxfId="68" priority="2" stopIfTrue="1">
      <formula>J$12=0</formula>
    </cfRule>
  </conditionalFormatting>
  <dataValidations count="1">
    <dataValidation type="custom" showErrorMessage="1" errorTitle="Invalid Assumption" error="Assumption must be a number." sqref="J20:Q21 J35:Q38 J23:Q25 J27:Q30 J43:Q48">
      <formula1>NOT(ISERROR(J20/1))</formula1>
    </dataValidation>
  </dataValidations>
  <hyperlinks>
    <hyperlink ref="B3" location="HL_Home" tooltip="Go to Table of Contents" display="HL_Home"/>
    <hyperlink ref="A4" location="$B$14" tooltip="Go to Top of Sheet" display="$B$14"/>
    <hyperlink ref="B4" location="HL_Sheet_Main_30" tooltip="Go to Previous Sheet" display="HL_Sheet_Main_30"/>
    <hyperlink ref="C4" location="HL_Sheet_Main_15" tooltip="Go to Next Sheet" display="HL_Sheet_Main_1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0" min="1" max="16" man="1"/>
  </rowBreaks>
</worksheet>
</file>

<file path=xl/worksheets/sheet22.xml><?xml version="1.0" encoding="utf-8"?>
<worksheet xmlns="http://schemas.openxmlformats.org/spreadsheetml/2006/main" xmlns:r="http://schemas.openxmlformats.org/officeDocument/2006/relationships">
  <sheetPr codeName="Sheet23">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502</v>
      </c>
    </row>
    <row r="10" spans="3:7" ht="16.5">
      <c r="C10" s="27" t="s">
        <v>510</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177" t="s">
        <v>503</v>
      </c>
    </row>
    <row r="19" spans="3:3">
      <c r="C19" s="177"/>
    </row>
    <row r="20" spans="3:3">
      <c r="C20" s="177"/>
    </row>
  </sheetData>
  <mergeCells count="1">
    <mergeCell ref="C12:G12"/>
  </mergeCells>
  <hyperlinks>
    <hyperlink ref="C12" location="HL_Home" tooltip="Go to Table of Contents" display="HL_Home"/>
    <hyperlink ref="C13" location="HL_Sheet_Main_31" tooltip="Go to Previous Sheet" display="HL_Sheet_Main_31"/>
    <hyperlink ref="D13" location="HL_Sheet_Main_12" tooltip="Go to Next Sheet" display="HL_Sheet_Main_12"/>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3.xml><?xml version="1.0" encoding="utf-8"?>
<worksheet xmlns="http://schemas.openxmlformats.org/spreadsheetml/2006/main" xmlns:r="http://schemas.openxmlformats.org/officeDocument/2006/relationships">
  <sheetPr codeName="Sheet16">
    <pageSetUpPr autoPageBreaks="0"/>
  </sheetPr>
  <dimension ref="A1:Q214"/>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502</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05"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05"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05"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05"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05"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398</v>
      </c>
    </row>
    <row r="18" spans="2:17" s="15" customFormat="1">
      <c r="C18" s="5" t="str">
        <f>Fcast_TA!C18</f>
        <v>Revenue</v>
      </c>
      <c r="J18" s="94">
        <f>IF(J$12&lt;TS_Data_Total_Pers,0,Fcast_TA!J18)</f>
        <v>0</v>
      </c>
      <c r="K18" s="94">
        <f>IF(K$12&lt;TS_Data_Total_Pers,0,Fcast_TA!K18)</f>
        <v>0</v>
      </c>
      <c r="L18" s="94">
        <f>IF(L$12&lt;TS_Data_Total_Pers,0,Fcast_TA!L18)</f>
        <v>0</v>
      </c>
      <c r="M18" s="94">
        <f>IF(M$12&lt;TS_Data_Total_Pers,0,Fcast_TA!M18)</f>
        <v>134.611328125</v>
      </c>
      <c r="N18" s="94">
        <f>IF(N$12&lt;TS_Data_Total_Pers,0,Fcast_TA!N18)</f>
        <v>137.97661132812499</v>
      </c>
      <c r="O18" s="94">
        <f>IF(O$12&lt;TS_Data_Total_Pers,0,Fcast_TA!O18)</f>
        <v>141.4260266113281</v>
      </c>
      <c r="P18" s="94">
        <f>IF(P$12&lt;TS_Data_Total_Pers,0,Fcast_TA!P18)</f>
        <v>144.96167727661128</v>
      </c>
      <c r="Q18" s="94">
        <f>IF(Q$12&lt;TS_Data_Total_Pers,0,Fcast_TA!Q18)</f>
        <v>148.58571920852654</v>
      </c>
    </row>
    <row r="19" spans="2:17" s="15" customFormat="1">
      <c r="C19" s="5" t="str">
        <f>Fcast_TA!C19</f>
        <v>Cost of Goods Sold</v>
      </c>
      <c r="J19" s="94">
        <f>IF(J$12&lt;TS_Data_Total_Pers,0,Fcast_TA!J19)</f>
        <v>0</v>
      </c>
      <c r="K19" s="94">
        <f>IF(K$12&lt;TS_Data_Total_Pers,0,Fcast_TA!K19)</f>
        <v>0</v>
      </c>
      <c r="L19" s="94">
        <f>IF(L$12&lt;TS_Data_Total_Pers,0,Fcast_TA!L19)</f>
        <v>0</v>
      </c>
      <c r="M19" s="94">
        <f>IF(M$12&lt;TS_Data_Total_Pers,0,Fcast_TA!M19)</f>
        <v>26.922265624999991</v>
      </c>
      <c r="N19" s="94">
        <f>IF(N$12&lt;TS_Data_Total_Pers,0,Fcast_TA!N19)</f>
        <v>27.59532226562499</v>
      </c>
      <c r="O19" s="94">
        <f>IF(O$12&lt;TS_Data_Total_Pers,0,Fcast_TA!O19)</f>
        <v>28.285205322265611</v>
      </c>
      <c r="P19" s="94">
        <f>IF(P$12&lt;TS_Data_Total_Pers,0,Fcast_TA!P19)</f>
        <v>28.992335455322248</v>
      </c>
      <c r="Q19" s="94">
        <f>IF(Q$12&lt;TS_Data_Total_Pers,0,Fcast_TA!Q19)</f>
        <v>29.717143841705301</v>
      </c>
    </row>
    <row r="20" spans="2:17" s="15" customFormat="1">
      <c r="C20" s="5" t="str">
        <f>Fcast_TA!C20</f>
        <v>Operating Expenditure</v>
      </c>
      <c r="J20" s="94">
        <f>IF(J$12&lt;TS_Data_Total_Pers,0,Fcast_TA!J20)</f>
        <v>0</v>
      </c>
      <c r="K20" s="94">
        <f>IF(K$12&lt;TS_Data_Total_Pers,0,Fcast_TA!K20)</f>
        <v>0</v>
      </c>
      <c r="L20" s="94">
        <f>IF(L$12&lt;TS_Data_Total_Pers,0,Fcast_TA!L20)</f>
        <v>0</v>
      </c>
      <c r="M20" s="94">
        <f>IF(M$12&lt;TS_Data_Total_Pers,0,Fcast_TA!M20)</f>
        <v>43.075624999999995</v>
      </c>
      <c r="N20" s="94">
        <f>IF(N$12&lt;TS_Data_Total_Pers,0,Fcast_TA!N20)</f>
        <v>44.152515624999992</v>
      </c>
      <c r="O20" s="94">
        <f>IF(O$12&lt;TS_Data_Total_Pers,0,Fcast_TA!O20)</f>
        <v>45.256328515624986</v>
      </c>
      <c r="P20" s="94">
        <f>IF(P$12&lt;TS_Data_Total_Pers,0,Fcast_TA!P20)</f>
        <v>46.387736728515605</v>
      </c>
      <c r="Q20" s="94">
        <f>IF(Q$12&lt;TS_Data_Total_Pers,0,Fcast_TA!Q20)</f>
        <v>47.547430146728495</v>
      </c>
    </row>
    <row r="21" spans="2:17" s="15" customFormat="1">
      <c r="C21" s="5" t="str">
        <f>Fcast_TA!C21</f>
        <v>Capital Expenditure - Assets</v>
      </c>
      <c r="J21" s="94">
        <f>IF(J$12&lt;TS_Data_Total_Pers,0,Fcast_TA!J21)</f>
        <v>0</v>
      </c>
      <c r="K21" s="94">
        <f>IF(K$12&lt;TS_Data_Total_Pers,0,Fcast_TA!K21)</f>
        <v>0</v>
      </c>
      <c r="L21" s="94">
        <f>IF(L$12&lt;TS_Data_Total_Pers,0,Fcast_TA!L21)</f>
        <v>0</v>
      </c>
      <c r="M21" s="94">
        <f>IF(M$12&lt;TS_Data_Total_Pers,0,Fcast_TA!M21)</f>
        <v>16.153359374999994</v>
      </c>
      <c r="N21" s="94">
        <f>IF(N$12&lt;TS_Data_Total_Pers,0,Fcast_TA!N21)</f>
        <v>16.557193359374992</v>
      </c>
      <c r="O21" s="94">
        <f>IF(O$12&lt;TS_Data_Total_Pers,0,Fcast_TA!O21)</f>
        <v>16.971123193359364</v>
      </c>
      <c r="P21" s="94">
        <f>IF(P$12&lt;TS_Data_Total_Pers,0,Fcast_TA!P21)</f>
        <v>17.395401273193347</v>
      </c>
      <c r="Q21" s="94">
        <f>IF(Q$12&lt;TS_Data_Total_Pers,0,Fcast_TA!Q21)</f>
        <v>17.830286305023179</v>
      </c>
    </row>
    <row r="22" spans="2:17" s="15" customFormat="1">
      <c r="C22" s="5" t="str">
        <f>Fcast_TA!C22</f>
        <v>Capital Expenditure - Intangibles</v>
      </c>
      <c r="J22" s="94">
        <f>IF(J$12&lt;TS_Data_Total_Pers,0,Fcast_TA!J22)</f>
        <v>0</v>
      </c>
      <c r="K22" s="94">
        <f>IF(K$12&lt;TS_Data_Total_Pers,0,Fcast_TA!K22)</f>
        <v>0</v>
      </c>
      <c r="L22" s="94">
        <f>IF(L$12&lt;TS_Data_Total_Pers,0,Fcast_TA!L22)</f>
        <v>0</v>
      </c>
      <c r="M22" s="94">
        <f>IF(M$12&lt;TS_Data_Total_Pers,0,Fcast_TA!M22)</f>
        <v>2.6922265624999997</v>
      </c>
      <c r="N22" s="94">
        <f>IF(N$12&lt;TS_Data_Total_Pers,0,Fcast_TA!N22)</f>
        <v>2.7595322265624995</v>
      </c>
      <c r="O22" s="94">
        <f>IF(O$12&lt;TS_Data_Total_Pers,0,Fcast_TA!O22)</f>
        <v>2.8285205322265616</v>
      </c>
      <c r="P22" s="94">
        <f>IF(P$12&lt;TS_Data_Total_Pers,0,Fcast_TA!P22)</f>
        <v>2.8992335455322253</v>
      </c>
      <c r="Q22" s="94">
        <f>IF(Q$12&lt;TS_Data_Total_Pers,0,Fcast_TA!Q22)</f>
        <v>2.9717143841705309</v>
      </c>
    </row>
    <row r="23" spans="2:17" s="15" customFormat="1">
      <c r="C23" s="5"/>
      <c r="J23" s="94"/>
      <c r="K23" s="94"/>
      <c r="L23" s="94"/>
      <c r="M23" s="94"/>
      <c r="N23" s="94"/>
      <c r="O23" s="94"/>
      <c r="P23" s="94"/>
      <c r="Q23" s="94"/>
    </row>
    <row r="25" spans="2:17" ht="12.75">
      <c r="B25" s="119" t="s">
        <v>411</v>
      </c>
    </row>
    <row r="26" spans="2:17" s="15" customFormat="1" ht="12.75">
      <c r="B26" s="23"/>
    </row>
    <row r="27" spans="2:17" ht="11.25">
      <c r="C27" s="125" t="str">
        <f>"Accounts Receivable Balances ("&amp;INDEX(LU_Denom,DD_TS_Denom)&amp;")"</f>
        <v>Accounts Receivable Balances ($Millions)</v>
      </c>
      <c r="I27" s="15"/>
    </row>
    <row r="29" spans="2:17">
      <c r="D29" s="107" t="s">
        <v>245</v>
      </c>
      <c r="J29" s="94">
        <f>IF(J$12=0,0,IF(J$12=TS_Data_Full_Pers+1,Fcast_TA!$I$33,I33))</f>
        <v>0</v>
      </c>
      <c r="K29" s="94">
        <f>IF(K$12=0,0,IF(K$12=TS_Data_Full_Pers+1,Fcast_TA!$I$33,J33))</f>
        <v>0</v>
      </c>
      <c r="L29" s="94">
        <f>IF(L$12=0,0,IF(L$12=TS_Data_Full_Pers+1,Fcast_TA!$I$33,K33))</f>
        <v>0</v>
      </c>
      <c r="M29" s="94">
        <f ca="1">IF(M$12=0,0,IF(M$12=TS_Data_Full_Pers+1,Fcast_TA!$I$33,L33))</f>
        <v>10.764600409836065</v>
      </c>
      <c r="N29" s="94">
        <f>IF(N$12=0,0,IF(N$12=TS_Data_Full_Pers+1,Fcast_TA!$I$33,M33))</f>
        <v>11.063944777397261</v>
      </c>
      <c r="O29" s="94">
        <f>IF(O$12=0,0,IF(O$12=TS_Data_Full_Pers+1,Fcast_TA!$I$33,N33))</f>
        <v>11.340543396832192</v>
      </c>
      <c r="P29" s="94">
        <f>IF(P$12=0,0,IF(P$12=TS_Data_Full_Pers+1,Fcast_TA!$I$33,O33))</f>
        <v>11.624056981752995</v>
      </c>
      <c r="Q29" s="94">
        <f>IF(Q$12=0,0,IF(Q$12=TS_Data_Full_Pers+1,Fcast_TA!$I$33,P33))</f>
        <v>11.882104694804204</v>
      </c>
    </row>
    <row r="30" spans="2:17">
      <c r="D30" s="5" t="str">
        <f>C18</f>
        <v>Revenue</v>
      </c>
      <c r="J30" s="94">
        <f t="shared" ref="J30:Q30" si="8">J18</f>
        <v>0</v>
      </c>
      <c r="K30" s="94">
        <f t="shared" si="8"/>
        <v>0</v>
      </c>
      <c r="L30" s="94">
        <f t="shared" si="8"/>
        <v>0</v>
      </c>
      <c r="M30" s="94">
        <f t="shared" si="8"/>
        <v>134.611328125</v>
      </c>
      <c r="N30" s="94">
        <f t="shared" si="8"/>
        <v>137.97661132812499</v>
      </c>
      <c r="O30" s="94">
        <f t="shared" si="8"/>
        <v>141.4260266113281</v>
      </c>
      <c r="P30" s="94">
        <f t="shared" si="8"/>
        <v>144.96167727661128</v>
      </c>
      <c r="Q30" s="94">
        <f t="shared" si="8"/>
        <v>148.58571920852654</v>
      </c>
    </row>
    <row r="31" spans="2:17" s="21" customFormat="1">
      <c r="D31" s="172" t="s">
        <v>238</v>
      </c>
      <c r="J31" s="121">
        <f t="shared" ref="J31:Q31" si="9">J33-SUM(J29:J30)</f>
        <v>0</v>
      </c>
      <c r="K31" s="121">
        <f t="shared" si="9"/>
        <v>0</v>
      </c>
      <c r="L31" s="121">
        <f t="shared" si="9"/>
        <v>0</v>
      </c>
      <c r="M31" s="121">
        <f t="shared" ca="1" si="9"/>
        <v>-134.31198375743881</v>
      </c>
      <c r="N31" s="121">
        <f t="shared" si="9"/>
        <v>-137.70001270869005</v>
      </c>
      <c r="O31" s="121">
        <f t="shared" si="9"/>
        <v>-141.1425130264073</v>
      </c>
      <c r="P31" s="121">
        <f t="shared" si="9"/>
        <v>-144.70362956356007</v>
      </c>
      <c r="Q31" s="121">
        <f t="shared" si="9"/>
        <v>-148.25529903687652</v>
      </c>
    </row>
    <row r="32" spans="2:17" s="15" customFormat="1" hidden="1" outlineLevel="2">
      <c r="D32" s="173" t="s">
        <v>479</v>
      </c>
      <c r="J32" s="126">
        <f t="shared" ref="J32:Q32" si="10">SUM(J30:J31)</f>
        <v>0</v>
      </c>
      <c r="K32" s="126">
        <f t="shared" si="10"/>
        <v>0</v>
      </c>
      <c r="L32" s="126">
        <f t="shared" si="10"/>
        <v>0</v>
      </c>
      <c r="M32" s="126">
        <f t="shared" ca="1" si="10"/>
        <v>0.29934436756118998</v>
      </c>
      <c r="N32" s="126">
        <f t="shared" si="10"/>
        <v>0.27659861943493524</v>
      </c>
      <c r="O32" s="126">
        <f t="shared" si="10"/>
        <v>0.28351358492079726</v>
      </c>
      <c r="P32" s="126">
        <f t="shared" si="10"/>
        <v>0.25804771305121221</v>
      </c>
      <c r="Q32" s="126">
        <f t="shared" si="10"/>
        <v>0.3304201716500188</v>
      </c>
    </row>
    <row r="33" spans="3:17" collapsed="1">
      <c r="D33" s="108" t="s">
        <v>409</v>
      </c>
      <c r="J33" s="127">
        <f t="shared" ref="J33:Q33" si="11">J30*J36/(J$9-J$8+1)</f>
        <v>0</v>
      </c>
      <c r="K33" s="127">
        <f t="shared" si="11"/>
        <v>0</v>
      </c>
      <c r="L33" s="127">
        <f t="shared" si="11"/>
        <v>0</v>
      </c>
      <c r="M33" s="127">
        <f t="shared" si="11"/>
        <v>11.063944777397261</v>
      </c>
      <c r="N33" s="127">
        <f t="shared" si="11"/>
        <v>11.340543396832192</v>
      </c>
      <c r="O33" s="127">
        <f t="shared" si="11"/>
        <v>11.624056981752995</v>
      </c>
      <c r="P33" s="127">
        <f t="shared" si="11"/>
        <v>11.882104694804204</v>
      </c>
      <c r="Q33" s="127">
        <f t="shared" si="11"/>
        <v>12.212524866454237</v>
      </c>
    </row>
    <row r="35" spans="3:17">
      <c r="D35" s="117" t="str">
        <f>"Closing Balance Periodic Growth (% per "&amp;INDEX(LU_Period_Type_Names,MATCH(TS_Periodicity,LU_Periodicity,0))&amp;")"</f>
        <v>Closing Balance Periodic Growth (% per Year)</v>
      </c>
      <c r="K35" s="233">
        <f>IF(K$12=0,0,IF(ISERROR(K33/J33),"N/A",ROUND(K33/J33-1,5)))</f>
        <v>0</v>
      </c>
      <c r="L35" s="233">
        <f t="shared" ref="L35:Q35" si="12">IF(L$12=0,0,IF(ISERROR(L33/K33),"N/A",ROUND(L33/K33-1,5)))</f>
        <v>0</v>
      </c>
      <c r="M35" s="233" t="str">
        <f t="shared" si="12"/>
        <v>N/A</v>
      </c>
      <c r="N35" s="233">
        <f t="shared" si="12"/>
        <v>2.5000000000000001E-2</v>
      </c>
      <c r="O35" s="233">
        <f t="shared" si="12"/>
        <v>2.5000000000000001E-2</v>
      </c>
      <c r="P35" s="233">
        <f t="shared" si="12"/>
        <v>2.2200000000000001E-2</v>
      </c>
      <c r="Q35" s="233">
        <f t="shared" si="12"/>
        <v>2.7810000000000001E-2</v>
      </c>
    </row>
    <row r="36" spans="3:17">
      <c r="D36" s="173" t="s">
        <v>407</v>
      </c>
      <c r="J36" s="115">
        <f>IF(J$12=0,0,Fcast_TA!J34)</f>
        <v>0</v>
      </c>
      <c r="K36" s="115">
        <f>IF(K$12=0,0,Fcast_TA!K34)</f>
        <v>0</v>
      </c>
      <c r="L36" s="115">
        <f>IF(L$12=0,0,Fcast_TA!L34)</f>
        <v>0</v>
      </c>
      <c r="M36" s="115">
        <f>IF(M$12=0,0,Fcast_TA!M34)</f>
        <v>30</v>
      </c>
      <c r="N36" s="115">
        <f>IF(N$12=0,0,Fcast_TA!N34)</f>
        <v>30</v>
      </c>
      <c r="O36" s="115">
        <f>IF(O$12=0,0,Fcast_TA!O34)</f>
        <v>30</v>
      </c>
      <c r="P36" s="115">
        <f>IF(P$12=0,0,Fcast_TA!P34)</f>
        <v>30</v>
      </c>
      <c r="Q36" s="115">
        <f>IF(Q$12=0,0,Fcast_TA!Q34)</f>
        <v>30</v>
      </c>
    </row>
    <row r="38" spans="3:17" hidden="1" outlineLevel="2">
      <c r="E38" s="107" t="s">
        <v>239</v>
      </c>
      <c r="J38" s="95">
        <f t="shared" ref="J38:Q38" si="13">IF(ISERROR(J29+J32-J33),1,0)</f>
        <v>0</v>
      </c>
      <c r="K38" s="95">
        <f t="shared" si="13"/>
        <v>0</v>
      </c>
      <c r="L38" s="95">
        <f t="shared" si="13"/>
        <v>0</v>
      </c>
      <c r="M38" s="95">
        <f t="shared" ca="1" si="13"/>
        <v>0</v>
      </c>
      <c r="N38" s="95">
        <f t="shared" si="13"/>
        <v>0</v>
      </c>
      <c r="O38" s="95">
        <f t="shared" si="13"/>
        <v>0</v>
      </c>
      <c r="P38" s="95">
        <f t="shared" si="13"/>
        <v>0</v>
      </c>
      <c r="Q38" s="95">
        <f t="shared" si="13"/>
        <v>0</v>
      </c>
    </row>
    <row r="39" spans="3:17" hidden="1" outlineLevel="2">
      <c r="E39" s="107" t="s">
        <v>240</v>
      </c>
      <c r="J39" s="101">
        <f t="shared" ref="J39:Q39" si="14">IF(J38&lt;&gt;0,0,(ROUND(J29+J32-J33,5)&lt;&gt;0)*1)</f>
        <v>0</v>
      </c>
      <c r="K39" s="101">
        <f t="shared" si="14"/>
        <v>0</v>
      </c>
      <c r="L39" s="101">
        <f t="shared" si="14"/>
        <v>0</v>
      </c>
      <c r="M39" s="101">
        <f t="shared" ca="1" si="14"/>
        <v>0</v>
      </c>
      <c r="N39" s="101">
        <f t="shared" si="14"/>
        <v>0</v>
      </c>
      <c r="O39" s="101">
        <f t="shared" si="14"/>
        <v>0</v>
      </c>
      <c r="P39" s="101">
        <f t="shared" si="14"/>
        <v>0</v>
      </c>
      <c r="Q39" s="101">
        <f t="shared" si="14"/>
        <v>0</v>
      </c>
    </row>
    <row r="40" spans="3:17" hidden="1" outlineLevel="2">
      <c r="E40" s="107" t="s">
        <v>241</v>
      </c>
      <c r="J40" s="101">
        <f t="shared" ref="J40:Q40" si="15">IF(ISERROR(J31),0,(ROUND(MAX(J31),5)&gt;0)*1)</f>
        <v>0</v>
      </c>
      <c r="K40" s="101">
        <f t="shared" si="15"/>
        <v>0</v>
      </c>
      <c r="L40" s="101">
        <f t="shared" si="15"/>
        <v>0</v>
      </c>
      <c r="M40" s="101">
        <f t="shared" ca="1" si="15"/>
        <v>0</v>
      </c>
      <c r="N40" s="101">
        <f t="shared" si="15"/>
        <v>0</v>
      </c>
      <c r="O40" s="101">
        <f t="shared" si="15"/>
        <v>0</v>
      </c>
      <c r="P40" s="101">
        <f t="shared" si="15"/>
        <v>0</v>
      </c>
      <c r="Q40" s="101">
        <f t="shared" si="15"/>
        <v>0</v>
      </c>
    </row>
    <row r="41" spans="3:17" hidden="1" outlineLevel="2">
      <c r="E41" s="107" t="s">
        <v>242</v>
      </c>
      <c r="J41" s="124">
        <f t="shared" ref="J41:Q41" si="16">IF(ISERROR(J33),0,(ROUND(MIN(J33),5)&lt;0)*1)</f>
        <v>0</v>
      </c>
      <c r="K41" s="124">
        <f t="shared" si="16"/>
        <v>0</v>
      </c>
      <c r="L41" s="124">
        <f t="shared" si="16"/>
        <v>0</v>
      </c>
      <c r="M41" s="124">
        <f t="shared" si="16"/>
        <v>0</v>
      </c>
      <c r="N41" s="124">
        <f t="shared" si="16"/>
        <v>0</v>
      </c>
      <c r="O41" s="124">
        <f t="shared" si="16"/>
        <v>0</v>
      </c>
      <c r="P41" s="124">
        <f t="shared" si="16"/>
        <v>0</v>
      </c>
      <c r="Q41" s="124">
        <f t="shared" si="16"/>
        <v>0</v>
      </c>
    </row>
    <row r="42" spans="3:17" collapsed="1">
      <c r="D42" s="107" t="s">
        <v>410</v>
      </c>
      <c r="I42" s="98">
        <f ca="1">IF(ISERROR(SUM(J42:Q42)),0,MIN(SUM(J42:Q42),1))</f>
        <v>0</v>
      </c>
      <c r="J42" s="95">
        <f t="shared" ref="J42:Q42" si="17">MIN(SUM(J38:J41),1)</f>
        <v>0</v>
      </c>
      <c r="K42" s="95">
        <f t="shared" si="17"/>
        <v>0</v>
      </c>
      <c r="L42" s="95">
        <f t="shared" si="17"/>
        <v>0</v>
      </c>
      <c r="M42" s="95">
        <f t="shared" ca="1" si="17"/>
        <v>0</v>
      </c>
      <c r="N42" s="95">
        <f t="shared" si="17"/>
        <v>0</v>
      </c>
      <c r="O42" s="95">
        <f t="shared" si="17"/>
        <v>0</v>
      </c>
      <c r="P42" s="95">
        <f t="shared" si="17"/>
        <v>0</v>
      </c>
      <c r="Q42" s="95">
        <f t="shared" si="17"/>
        <v>0</v>
      </c>
    </row>
    <row r="44" spans="3:17" s="15" customFormat="1" ht="11.25">
      <c r="C44" s="125" t="str">
        <f>"Accounts Payable Balances ("&amp;INDEX(LU_Denom,DD_TS_Denom)&amp;")"</f>
        <v>Accounts Payable Balances ($Millions)</v>
      </c>
    </row>
    <row r="45" spans="3:17" s="15" customFormat="1" ht="11.25">
      <c r="C45" s="125"/>
    </row>
    <row r="46" spans="3:17">
      <c r="D46" s="107" t="s">
        <v>245</v>
      </c>
      <c r="J46" s="94">
        <f>IF(J$12=0,0,IF(J$12=TS_Data_Full_Pers+1,Fcast_TA!$I$38,I50))</f>
        <v>0</v>
      </c>
      <c r="K46" s="94">
        <f>IF(K$12=0,0,IF(K$12=TS_Data_Full_Pers+1,Fcast_TA!$I$38,J50))</f>
        <v>0</v>
      </c>
      <c r="L46" s="94">
        <f>IF(L$12=0,0,IF(L$12=TS_Data_Full_Pers+1,Fcast_TA!$I$38,K50))</f>
        <v>0</v>
      </c>
      <c r="M46" s="94">
        <f ca="1">IF(M$12=0,0,IF(M$12=TS_Data_Full_Pers+1,Fcast_TA!$I$38,L50))</f>
        <v>8.3963883196721305</v>
      </c>
      <c r="N46" s="94">
        <f>IF(N$12=0,0,IF(N$12=TS_Data_Full_Pers+1,Fcast_TA!$I$38,M50))</f>
        <v>8.629876926369862</v>
      </c>
      <c r="O46" s="94">
        <f>IF(O$12=0,0,IF(O$12=TS_Data_Full_Pers+1,Fcast_TA!$I$38,N50))</f>
        <v>8.8456238495291082</v>
      </c>
      <c r="P46" s="94">
        <f>IF(P$12=0,0,IF(P$12=TS_Data_Full_Pers+1,Fcast_TA!$I$38,O50))</f>
        <v>9.0667644457673351</v>
      </c>
      <c r="Q46" s="94">
        <f>IF(Q$12=0,0,IF(Q$12=TS_Data_Full_Pers+1,Fcast_TA!$I$38,P50))</f>
        <v>9.2680416619472759</v>
      </c>
    </row>
    <row r="47" spans="3:17">
      <c r="D47" s="167" t="s">
        <v>465</v>
      </c>
      <c r="J47" s="94">
        <f t="shared" ref="J47:Q47" si="18">SUM(J19:J20)</f>
        <v>0</v>
      </c>
      <c r="K47" s="94">
        <f t="shared" si="18"/>
        <v>0</v>
      </c>
      <c r="L47" s="94">
        <f t="shared" si="18"/>
        <v>0</v>
      </c>
      <c r="M47" s="94">
        <f t="shared" si="18"/>
        <v>69.997890624999982</v>
      </c>
      <c r="N47" s="94">
        <f t="shared" si="18"/>
        <v>71.747837890624979</v>
      </c>
      <c r="O47" s="94">
        <f t="shared" si="18"/>
        <v>73.541533837890597</v>
      </c>
      <c r="P47" s="94">
        <f t="shared" si="18"/>
        <v>75.380072183837854</v>
      </c>
      <c r="Q47" s="94">
        <f t="shared" si="18"/>
        <v>77.264573988433796</v>
      </c>
    </row>
    <row r="48" spans="3:17" s="21" customFormat="1">
      <c r="D48" s="172" t="s">
        <v>243</v>
      </c>
      <c r="J48" s="121">
        <f t="shared" ref="J48:Q48" si="19">J50-SUM(J46:J47)</f>
        <v>0</v>
      </c>
      <c r="K48" s="121">
        <f t="shared" si="19"/>
        <v>0</v>
      </c>
      <c r="L48" s="121">
        <f t="shared" si="19"/>
        <v>0</v>
      </c>
      <c r="M48" s="121">
        <f t="shared" ca="1" si="19"/>
        <v>-69.764402018302249</v>
      </c>
      <c r="N48" s="121">
        <f t="shared" si="19"/>
        <v>-71.532090967465734</v>
      </c>
      <c r="O48" s="121">
        <f t="shared" si="19"/>
        <v>-73.320393241652368</v>
      </c>
      <c r="P48" s="121">
        <f t="shared" si="19"/>
        <v>-75.178794967657907</v>
      </c>
      <c r="Q48" s="121">
        <f t="shared" si="19"/>
        <v>-77.006846254546772</v>
      </c>
    </row>
    <row r="49" spans="2:17" s="15" customFormat="1" hidden="1" outlineLevel="2">
      <c r="D49" s="173" t="s">
        <v>480</v>
      </c>
      <c r="J49" s="126">
        <f t="shared" ref="J49:Q49" si="20">SUM(J47:J48)</f>
        <v>0</v>
      </c>
      <c r="K49" s="126">
        <f t="shared" si="20"/>
        <v>0</v>
      </c>
      <c r="L49" s="126">
        <f t="shared" si="20"/>
        <v>0</v>
      </c>
      <c r="M49" s="126">
        <f t="shared" ca="1" si="20"/>
        <v>0.2334886066977333</v>
      </c>
      <c r="N49" s="126">
        <f t="shared" si="20"/>
        <v>0.21574692315924437</v>
      </c>
      <c r="O49" s="126">
        <f t="shared" si="20"/>
        <v>0.22114059623822868</v>
      </c>
      <c r="P49" s="126">
        <f t="shared" si="20"/>
        <v>0.20127721617994609</v>
      </c>
      <c r="Q49" s="126">
        <f t="shared" si="20"/>
        <v>0.25772773388702319</v>
      </c>
    </row>
    <row r="50" spans="2:17" collapsed="1">
      <c r="D50" s="108" t="s">
        <v>409</v>
      </c>
      <c r="J50" s="127">
        <f t="shared" ref="J50:Q50" si="21">J47*J53/(J$9-J$8+1)</f>
        <v>0</v>
      </c>
      <c r="K50" s="127">
        <f t="shared" si="21"/>
        <v>0</v>
      </c>
      <c r="L50" s="127">
        <f t="shared" si="21"/>
        <v>0</v>
      </c>
      <c r="M50" s="127">
        <f t="shared" si="21"/>
        <v>8.629876926369862</v>
      </c>
      <c r="N50" s="127">
        <f t="shared" si="21"/>
        <v>8.8456238495291082</v>
      </c>
      <c r="O50" s="127">
        <f t="shared" si="21"/>
        <v>9.0667644457673351</v>
      </c>
      <c r="P50" s="127">
        <f t="shared" si="21"/>
        <v>9.2680416619472759</v>
      </c>
      <c r="Q50" s="127">
        <f t="shared" si="21"/>
        <v>9.5257693958343044</v>
      </c>
    </row>
    <row r="52" spans="2:17">
      <c r="D52" s="117" t="str">
        <f>"Closing Balance Periodic Growth (% per "&amp;INDEX(LU_Period_Type_Names,MATCH(TS_Periodicity,LU_Periodicity,0))&amp;")"</f>
        <v>Closing Balance Periodic Growth (% per Year)</v>
      </c>
      <c r="K52" s="233">
        <f>IF(K$12=0,0,IF(ISERROR(K50/J50),"N/A",ROUND(K50/J50-1,5)))</f>
        <v>0</v>
      </c>
      <c r="L52" s="233">
        <f t="shared" ref="L52:Q52" si="22">IF(L$12=0,0,IF(ISERROR(L50/K50),"N/A",ROUND(L50/K50-1,5)))</f>
        <v>0</v>
      </c>
      <c r="M52" s="233" t="str">
        <f t="shared" si="22"/>
        <v>N/A</v>
      </c>
      <c r="N52" s="233">
        <f t="shared" si="22"/>
        <v>2.5000000000000001E-2</v>
      </c>
      <c r="O52" s="233">
        <f t="shared" si="22"/>
        <v>2.5000000000000001E-2</v>
      </c>
      <c r="P52" s="233">
        <f t="shared" si="22"/>
        <v>2.2200000000000001E-2</v>
      </c>
      <c r="Q52" s="233">
        <f t="shared" si="22"/>
        <v>2.7810000000000001E-2</v>
      </c>
    </row>
    <row r="53" spans="2:17">
      <c r="D53" s="173" t="s">
        <v>408</v>
      </c>
      <c r="J53" s="115">
        <f>IF(J$12=0,0,Fcast_TA!J39)</f>
        <v>0</v>
      </c>
      <c r="K53" s="115">
        <f>IF(K$12=0,0,Fcast_TA!K39)</f>
        <v>0</v>
      </c>
      <c r="L53" s="115">
        <f>IF(L$12=0,0,Fcast_TA!L39)</f>
        <v>0</v>
      </c>
      <c r="M53" s="115">
        <f>IF(M$12=0,0,Fcast_TA!M39)</f>
        <v>45</v>
      </c>
      <c r="N53" s="115">
        <f>IF(N$12=0,0,Fcast_TA!N39)</f>
        <v>45</v>
      </c>
      <c r="O53" s="115">
        <f>IF(O$12=0,0,Fcast_TA!O39)</f>
        <v>45</v>
      </c>
      <c r="P53" s="115">
        <f>IF(P$12=0,0,Fcast_TA!P39)</f>
        <v>45</v>
      </c>
      <c r="Q53" s="115">
        <f>IF(Q$12=0,0,Fcast_TA!Q39)</f>
        <v>45</v>
      </c>
    </row>
    <row r="55" spans="2:17" hidden="1" outlineLevel="2">
      <c r="E55" s="107" t="s">
        <v>239</v>
      </c>
      <c r="J55" s="95">
        <f t="shared" ref="J55:Q55" si="23">IF(ISERROR(J46+J49-J50),1,0)</f>
        <v>0</v>
      </c>
      <c r="K55" s="95">
        <f t="shared" si="23"/>
        <v>0</v>
      </c>
      <c r="L55" s="95">
        <f t="shared" si="23"/>
        <v>0</v>
      </c>
      <c r="M55" s="95">
        <f t="shared" ca="1" si="23"/>
        <v>0</v>
      </c>
      <c r="N55" s="95">
        <f t="shared" si="23"/>
        <v>0</v>
      </c>
      <c r="O55" s="95">
        <f t="shared" si="23"/>
        <v>0</v>
      </c>
      <c r="P55" s="95">
        <f t="shared" si="23"/>
        <v>0</v>
      </c>
      <c r="Q55" s="95">
        <f t="shared" si="23"/>
        <v>0</v>
      </c>
    </row>
    <row r="56" spans="2:17" hidden="1" outlineLevel="2">
      <c r="E56" s="107" t="s">
        <v>240</v>
      </c>
      <c r="J56" s="101">
        <f t="shared" ref="J56:Q56" si="24">IF(J55&lt;&gt;0,0,(ROUND(J46+J49-J50,5)&lt;&gt;0)*1)</f>
        <v>0</v>
      </c>
      <c r="K56" s="101">
        <f t="shared" si="24"/>
        <v>0</v>
      </c>
      <c r="L56" s="101">
        <f t="shared" si="24"/>
        <v>0</v>
      </c>
      <c r="M56" s="101">
        <f t="shared" ca="1" si="24"/>
        <v>0</v>
      </c>
      <c r="N56" s="101">
        <f t="shared" si="24"/>
        <v>0</v>
      </c>
      <c r="O56" s="101">
        <f t="shared" si="24"/>
        <v>0</v>
      </c>
      <c r="P56" s="101">
        <f t="shared" si="24"/>
        <v>0</v>
      </c>
      <c r="Q56" s="101">
        <f t="shared" si="24"/>
        <v>0</v>
      </c>
    </row>
    <row r="57" spans="2:17" hidden="1" outlineLevel="2">
      <c r="E57" s="107" t="s">
        <v>244</v>
      </c>
      <c r="J57" s="101">
        <f t="shared" ref="J57:Q57" si="25">IF(ISERROR(J48),0,(ROUND(MAX(J48),5)&gt;0)*1)</f>
        <v>0</v>
      </c>
      <c r="K57" s="101">
        <f t="shared" si="25"/>
        <v>0</v>
      </c>
      <c r="L57" s="101">
        <f t="shared" si="25"/>
        <v>0</v>
      </c>
      <c r="M57" s="101">
        <f t="shared" ca="1" si="25"/>
        <v>0</v>
      </c>
      <c r="N57" s="101">
        <f t="shared" si="25"/>
        <v>0</v>
      </c>
      <c r="O57" s="101">
        <f t="shared" si="25"/>
        <v>0</v>
      </c>
      <c r="P57" s="101">
        <f t="shared" si="25"/>
        <v>0</v>
      </c>
      <c r="Q57" s="101">
        <f t="shared" si="25"/>
        <v>0</v>
      </c>
    </row>
    <row r="58" spans="2:17" hidden="1" outlineLevel="2">
      <c r="E58" s="107" t="s">
        <v>242</v>
      </c>
      <c r="J58" s="124">
        <f t="shared" ref="J58:Q58" si="26">IF(ISERROR(J50),0,(ROUND(MIN(J50),5)&lt;0)*1)</f>
        <v>0</v>
      </c>
      <c r="K58" s="124">
        <f t="shared" si="26"/>
        <v>0</v>
      </c>
      <c r="L58" s="124">
        <f t="shared" si="26"/>
        <v>0</v>
      </c>
      <c r="M58" s="124">
        <f t="shared" si="26"/>
        <v>0</v>
      </c>
      <c r="N58" s="124">
        <f t="shared" si="26"/>
        <v>0</v>
      </c>
      <c r="O58" s="124">
        <f t="shared" si="26"/>
        <v>0</v>
      </c>
      <c r="P58" s="124">
        <f t="shared" si="26"/>
        <v>0</v>
      </c>
      <c r="Q58" s="124">
        <f t="shared" si="26"/>
        <v>0</v>
      </c>
    </row>
    <row r="59" spans="2:17" collapsed="1">
      <c r="D59" s="107" t="s">
        <v>410</v>
      </c>
      <c r="I59" s="98">
        <f ca="1">IF(ISERROR(SUM(J59:Q59)),0,MIN(SUM(J59:Q59),1))</f>
        <v>0</v>
      </c>
      <c r="J59" s="95">
        <f t="shared" ref="J59:Q59" si="27">MIN(SUM(J55:J58),1)</f>
        <v>0</v>
      </c>
      <c r="K59" s="95">
        <f t="shared" si="27"/>
        <v>0</v>
      </c>
      <c r="L59" s="95">
        <f t="shared" si="27"/>
        <v>0</v>
      </c>
      <c r="M59" s="95">
        <f t="shared" ca="1" si="27"/>
        <v>0</v>
      </c>
      <c r="N59" s="95">
        <f t="shared" si="27"/>
        <v>0</v>
      </c>
      <c r="O59" s="95">
        <f t="shared" si="27"/>
        <v>0</v>
      </c>
      <c r="P59" s="95">
        <f t="shared" si="27"/>
        <v>0</v>
      </c>
      <c r="Q59" s="95">
        <f t="shared" si="27"/>
        <v>0</v>
      </c>
    </row>
    <row r="62" spans="2:17" ht="12.75">
      <c r="B62" s="119" t="s">
        <v>399</v>
      </c>
    </row>
    <row r="64" spans="2:17" s="15" customFormat="1" ht="11.25">
      <c r="C64" s="125" t="str">
        <f>"Assets Balances ("&amp;INDEX(LU_Denom,DD_TS_Denom)&amp;")"</f>
        <v>Assets Balances ($Millions)</v>
      </c>
    </row>
    <row r="65" spans="3:17" s="15" customFormat="1"/>
    <row r="66" spans="3:17" s="15" customFormat="1">
      <c r="D66" s="167" t="s">
        <v>245</v>
      </c>
      <c r="J66" s="94">
        <f>IF(J$12=0,0,IF(J$12=TS_Data_Full_Pers+1,Fcast_TA!$I$49,I70))</f>
        <v>0</v>
      </c>
      <c r="K66" s="94">
        <f>IF(K$12=0,0,IF(K$12=TS_Data_Full_Pers+1,Fcast_TA!$I$49,J70))</f>
        <v>0</v>
      </c>
      <c r="L66" s="94">
        <f>IF(L$12=0,0,IF(L$12=TS_Data_Full_Pers+1,Fcast_TA!$I$49,K70))</f>
        <v>0</v>
      </c>
      <c r="M66" s="94">
        <f ca="1">IF(M$12=0,0,IF(M$12=TS_Data_Full_Pers+1,Fcast_TA!$I$49,L70))</f>
        <v>149.6134375</v>
      </c>
      <c r="N66" s="94">
        <f ca="1">IF(N$12=0,0,IF(N$12=TS_Data_Full_Pers+1,Fcast_TA!$I$49,M70))</f>
        <v>151.22877343750002</v>
      </c>
      <c r="O66" s="94">
        <f ca="1">IF(O$12=0,0,IF(O$12=TS_Data_Full_Pers+1,Fcast_TA!$I$49,N70))</f>
        <v>152.88449277343753</v>
      </c>
      <c r="P66" s="94">
        <f ca="1">IF(P$12=0,0,IF(P$12=TS_Data_Full_Pers+1,Fcast_TA!$I$49,O70))</f>
        <v>154.58160509277349</v>
      </c>
      <c r="Q66" s="94">
        <f ca="1">IF(Q$12=0,0,IF(Q$12=TS_Data_Full_Pers+1,Fcast_TA!$I$49,P70))</f>
        <v>156.32114522009283</v>
      </c>
    </row>
    <row r="67" spans="3:17" s="15" customFormat="1">
      <c r="D67" s="5" t="str">
        <f>C21</f>
        <v>Capital Expenditure - Assets</v>
      </c>
      <c r="J67" s="94">
        <f t="shared" ref="J67:Q67" si="28">J21</f>
        <v>0</v>
      </c>
      <c r="K67" s="94">
        <f t="shared" si="28"/>
        <v>0</v>
      </c>
      <c r="L67" s="94">
        <f t="shared" si="28"/>
        <v>0</v>
      </c>
      <c r="M67" s="94">
        <f t="shared" si="28"/>
        <v>16.153359374999994</v>
      </c>
      <c r="N67" s="94">
        <f t="shared" si="28"/>
        <v>16.557193359374992</v>
      </c>
      <c r="O67" s="94">
        <f t="shared" si="28"/>
        <v>16.971123193359364</v>
      </c>
      <c r="P67" s="94">
        <f t="shared" si="28"/>
        <v>17.395401273193347</v>
      </c>
      <c r="Q67" s="94">
        <f t="shared" si="28"/>
        <v>17.830286305023179</v>
      </c>
    </row>
    <row r="68" spans="3:17" s="15" customFormat="1" hidden="1" outlineLevel="2">
      <c r="D68" s="167" t="s">
        <v>468</v>
      </c>
      <c r="J68" s="118">
        <f>IF(J$12=0,0,Fcast_TA!J50)</f>
        <v>0</v>
      </c>
      <c r="K68" s="118">
        <f>IF(K$12=0,0,Fcast_TA!K50)</f>
        <v>0</v>
      </c>
      <c r="L68" s="118">
        <f>IF(L$12=0,0,Fcast_TA!L50)</f>
        <v>0</v>
      </c>
      <c r="M68" s="118">
        <f>IF(M$12=0,0,Fcast_TA!M50)</f>
        <v>0.9</v>
      </c>
      <c r="N68" s="118">
        <f>IF(N$12=0,0,Fcast_TA!N50)</f>
        <v>0.9</v>
      </c>
      <c r="O68" s="118">
        <f>IF(O$12=0,0,Fcast_TA!O50)</f>
        <v>0.9</v>
      </c>
      <c r="P68" s="118">
        <f>IF(P$12=0,0,Fcast_TA!P50)</f>
        <v>0.9</v>
      </c>
      <c r="Q68" s="118">
        <f>IF(Q$12=0,0,Fcast_TA!Q50)</f>
        <v>0.9</v>
      </c>
    </row>
    <row r="69" spans="3:17" s="21" customFormat="1" collapsed="1">
      <c r="D69" s="172" t="s">
        <v>413</v>
      </c>
      <c r="J69" s="121">
        <f t="shared" ref="J69:Q69" si="29">-J67*J68</f>
        <v>0</v>
      </c>
      <c r="K69" s="121">
        <f t="shared" si="29"/>
        <v>0</v>
      </c>
      <c r="L69" s="121">
        <f t="shared" si="29"/>
        <v>0</v>
      </c>
      <c r="M69" s="121">
        <f t="shared" si="29"/>
        <v>-14.538023437499994</v>
      </c>
      <c r="N69" s="121">
        <f t="shared" si="29"/>
        <v>-14.901474023437492</v>
      </c>
      <c r="O69" s="121">
        <f t="shared" si="29"/>
        <v>-15.274010874023428</v>
      </c>
      <c r="P69" s="121">
        <f t="shared" si="29"/>
        <v>-15.655861145874013</v>
      </c>
      <c r="Q69" s="121">
        <f t="shared" si="29"/>
        <v>-16.047257674520861</v>
      </c>
    </row>
    <row r="70" spans="3:17" s="15" customFormat="1">
      <c r="D70" s="168" t="s">
        <v>409</v>
      </c>
      <c r="J70" s="127">
        <f t="shared" ref="J70:Q70" si="30">J66+J67+J69</f>
        <v>0</v>
      </c>
      <c r="K70" s="127">
        <f t="shared" si="30"/>
        <v>0</v>
      </c>
      <c r="L70" s="127">
        <f t="shared" si="30"/>
        <v>0</v>
      </c>
      <c r="M70" s="127">
        <f t="shared" ca="1" si="30"/>
        <v>151.22877343750002</v>
      </c>
      <c r="N70" s="127">
        <f t="shared" ca="1" si="30"/>
        <v>152.88449277343753</v>
      </c>
      <c r="O70" s="127">
        <f t="shared" ca="1" si="30"/>
        <v>154.58160509277349</v>
      </c>
      <c r="P70" s="127">
        <f t="shared" ca="1" si="30"/>
        <v>156.32114522009283</v>
      </c>
      <c r="Q70" s="127">
        <f t="shared" ca="1" si="30"/>
        <v>158.10417385059515</v>
      </c>
    </row>
    <row r="71" spans="3:17" s="15" customFormat="1"/>
    <row r="72" spans="3:17" s="15" customFormat="1" hidden="1" outlineLevel="2">
      <c r="E72" s="167" t="s">
        <v>239</v>
      </c>
      <c r="J72" s="95">
        <f t="shared" ref="J72:Q72" si="31">IF(ISERROR(J70-(J66+J67+J69)),1,0)</f>
        <v>0</v>
      </c>
      <c r="K72" s="95">
        <f t="shared" si="31"/>
        <v>0</v>
      </c>
      <c r="L72" s="95">
        <f t="shared" si="31"/>
        <v>0</v>
      </c>
      <c r="M72" s="95">
        <f t="shared" ca="1" si="31"/>
        <v>0</v>
      </c>
      <c r="N72" s="95">
        <f t="shared" ca="1" si="31"/>
        <v>0</v>
      </c>
      <c r="O72" s="95">
        <f t="shared" ca="1" si="31"/>
        <v>0</v>
      </c>
      <c r="P72" s="95">
        <f t="shared" ca="1" si="31"/>
        <v>0</v>
      </c>
      <c r="Q72" s="95">
        <f t="shared" ca="1" si="31"/>
        <v>0</v>
      </c>
    </row>
    <row r="73" spans="3:17" s="15" customFormat="1" hidden="1" outlineLevel="2">
      <c r="E73" s="167" t="s">
        <v>240</v>
      </c>
      <c r="J73" s="124">
        <f t="shared" ref="J73:Q73" si="32">IF(J72&lt;&gt;0,0,(ROUND(J70-(J66+J67+J69),5)&lt;&gt;0)*1)</f>
        <v>0</v>
      </c>
      <c r="K73" s="124">
        <f t="shared" si="32"/>
        <v>0</v>
      </c>
      <c r="L73" s="124">
        <f t="shared" si="32"/>
        <v>0</v>
      </c>
      <c r="M73" s="124">
        <f t="shared" ca="1" si="32"/>
        <v>0</v>
      </c>
      <c r="N73" s="124">
        <f t="shared" ca="1" si="32"/>
        <v>0</v>
      </c>
      <c r="O73" s="124">
        <f t="shared" ca="1" si="32"/>
        <v>0</v>
      </c>
      <c r="P73" s="124">
        <f t="shared" ca="1" si="32"/>
        <v>0</v>
      </c>
      <c r="Q73" s="124">
        <f t="shared" ca="1" si="32"/>
        <v>0</v>
      </c>
    </row>
    <row r="74" spans="3:17" s="15" customFormat="1" collapsed="1">
      <c r="D74" s="167" t="s">
        <v>410</v>
      </c>
      <c r="I74" s="98">
        <f ca="1">IF(ISERROR(SUM(J74:Q74)),0,MIN(SUM(J74:Q74),1))</f>
        <v>0</v>
      </c>
      <c r="J74" s="95">
        <f t="shared" ref="J74:Q74" si="33">MIN(SUM(J72:J73),1)</f>
        <v>0</v>
      </c>
      <c r="K74" s="95">
        <f t="shared" si="33"/>
        <v>0</v>
      </c>
      <c r="L74" s="95">
        <f t="shared" si="33"/>
        <v>0</v>
      </c>
      <c r="M74" s="95">
        <f t="shared" ca="1" si="33"/>
        <v>0</v>
      </c>
      <c r="N74" s="95">
        <f t="shared" ca="1" si="33"/>
        <v>0</v>
      </c>
      <c r="O74" s="95">
        <f t="shared" ca="1" si="33"/>
        <v>0</v>
      </c>
      <c r="P74" s="95">
        <f t="shared" ca="1" si="33"/>
        <v>0</v>
      </c>
      <c r="Q74" s="95">
        <f t="shared" ca="1" si="33"/>
        <v>0</v>
      </c>
    </row>
    <row r="75" spans="3:17" s="15" customFormat="1"/>
    <row r="76" spans="3:17" s="15" customFormat="1" ht="11.25">
      <c r="C76" s="125" t="str">
        <f>"Intangibles Balances ("&amp;INDEX(LU_Denom,DD_TS_Denom)&amp;")"</f>
        <v>Intangibles Balances ($Millions)</v>
      </c>
    </row>
    <row r="77" spans="3:17" s="15" customFormat="1"/>
    <row r="78" spans="3:17" s="15" customFormat="1">
      <c r="D78" s="167" t="s">
        <v>245</v>
      </c>
      <c r="J78" s="94">
        <f>IF(J$12=0,0,IF(J$12=TS_Data_Full_Pers+1,Fcast_TA!$I$54,I82))</f>
        <v>0</v>
      </c>
      <c r="K78" s="94">
        <f>IF(K$12=0,0,IF(K$12=TS_Data_Full_Pers+1,Fcast_TA!$I$54,J82))</f>
        <v>0</v>
      </c>
      <c r="L78" s="94">
        <f>IF(L$12=0,0,IF(L$12=TS_Data_Full_Pers+1,Fcast_TA!$I$54,K82))</f>
        <v>0</v>
      </c>
      <c r="M78" s="94">
        <f ca="1">IF(M$12=0,0,IF(M$12=TS_Data_Full_Pers+1,Fcast_TA!$I$54,L82))</f>
        <v>17.266796874999997</v>
      </c>
      <c r="N78" s="94">
        <f ca="1">IF(N$12=0,0,IF(N$12=TS_Data_Full_Pers+1,Fcast_TA!$I$54,M82))</f>
        <v>19.285966796874998</v>
      </c>
      <c r="O78" s="94">
        <f ca="1">IF(O$12=0,0,IF(O$12=TS_Data_Full_Pers+1,Fcast_TA!$I$54,N82))</f>
        <v>21.355615966796872</v>
      </c>
      <c r="P78" s="94">
        <f ca="1">IF(P$12=0,0,IF(P$12=TS_Data_Full_Pers+1,Fcast_TA!$I$54,O82))</f>
        <v>23.477006365966794</v>
      </c>
      <c r="Q78" s="94">
        <f ca="1">IF(Q$12=0,0,IF(Q$12=TS_Data_Full_Pers+1,Fcast_TA!$I$54,P82))</f>
        <v>25.651431525115964</v>
      </c>
    </row>
    <row r="79" spans="3:17" s="15" customFormat="1">
      <c r="D79" s="5" t="str">
        <f>C22</f>
        <v>Capital Expenditure - Intangibles</v>
      </c>
      <c r="J79" s="94">
        <f t="shared" ref="J79:Q79" si="34">J22</f>
        <v>0</v>
      </c>
      <c r="K79" s="94">
        <f t="shared" si="34"/>
        <v>0</v>
      </c>
      <c r="L79" s="94">
        <f t="shared" si="34"/>
        <v>0</v>
      </c>
      <c r="M79" s="94">
        <f t="shared" si="34"/>
        <v>2.6922265624999997</v>
      </c>
      <c r="N79" s="94">
        <f t="shared" si="34"/>
        <v>2.7595322265624995</v>
      </c>
      <c r="O79" s="94">
        <f t="shared" si="34"/>
        <v>2.8285205322265616</v>
      </c>
      <c r="P79" s="94">
        <f t="shared" si="34"/>
        <v>2.8992335455322253</v>
      </c>
      <c r="Q79" s="94">
        <f t="shared" si="34"/>
        <v>2.9717143841705309</v>
      </c>
    </row>
    <row r="80" spans="3:17" s="15" customFormat="1" hidden="1" outlineLevel="2">
      <c r="D80" s="167" t="s">
        <v>469</v>
      </c>
      <c r="J80" s="118">
        <f>IF(J$12=0,0,Fcast_TA!J55)</f>
        <v>0</v>
      </c>
      <c r="K80" s="118">
        <f>IF(K$12=0,0,Fcast_TA!K55)</f>
        <v>0</v>
      </c>
      <c r="L80" s="118">
        <f>IF(L$12=0,0,Fcast_TA!L55)</f>
        <v>0</v>
      </c>
      <c r="M80" s="118">
        <f>IF(M$12=0,0,Fcast_TA!M55)</f>
        <v>0.25</v>
      </c>
      <c r="N80" s="118">
        <f>IF(N$12=0,0,Fcast_TA!N55)</f>
        <v>0.25</v>
      </c>
      <c r="O80" s="118">
        <f>IF(O$12=0,0,Fcast_TA!O55)</f>
        <v>0.25</v>
      </c>
      <c r="P80" s="118">
        <f>IF(P$12=0,0,Fcast_TA!P55)</f>
        <v>0.25</v>
      </c>
      <c r="Q80" s="118">
        <f>IF(Q$12=0,0,Fcast_TA!Q55)</f>
        <v>0.25</v>
      </c>
    </row>
    <row r="81" spans="2:17" s="21" customFormat="1" collapsed="1">
      <c r="D81" s="172" t="s">
        <v>470</v>
      </c>
      <c r="J81" s="121">
        <f t="shared" ref="J81:Q81" si="35">-J79*J80</f>
        <v>0</v>
      </c>
      <c r="K81" s="121">
        <f t="shared" si="35"/>
        <v>0</v>
      </c>
      <c r="L81" s="121">
        <f t="shared" si="35"/>
        <v>0</v>
      </c>
      <c r="M81" s="121">
        <f t="shared" si="35"/>
        <v>-0.67305664062499992</v>
      </c>
      <c r="N81" s="121">
        <f t="shared" si="35"/>
        <v>-0.68988305664062488</v>
      </c>
      <c r="O81" s="121">
        <f t="shared" si="35"/>
        <v>-0.70713013305664041</v>
      </c>
      <c r="P81" s="121">
        <f t="shared" si="35"/>
        <v>-0.72480838638305634</v>
      </c>
      <c r="Q81" s="121">
        <f t="shared" si="35"/>
        <v>-0.74292859604263273</v>
      </c>
    </row>
    <row r="82" spans="2:17" s="15" customFormat="1">
      <c r="D82" s="168" t="s">
        <v>409</v>
      </c>
      <c r="J82" s="127">
        <f t="shared" ref="J82:Q82" si="36">J78+J79+J81</f>
        <v>0</v>
      </c>
      <c r="K82" s="127">
        <f t="shared" si="36"/>
        <v>0</v>
      </c>
      <c r="L82" s="127">
        <f t="shared" si="36"/>
        <v>0</v>
      </c>
      <c r="M82" s="127">
        <f t="shared" ca="1" si="36"/>
        <v>19.285966796874998</v>
      </c>
      <c r="N82" s="127">
        <f t="shared" ca="1" si="36"/>
        <v>21.355615966796872</v>
      </c>
      <c r="O82" s="127">
        <f t="shared" ca="1" si="36"/>
        <v>23.477006365966794</v>
      </c>
      <c r="P82" s="127">
        <f t="shared" ca="1" si="36"/>
        <v>25.651431525115964</v>
      </c>
      <c r="Q82" s="127">
        <f t="shared" ca="1" si="36"/>
        <v>27.880217313243865</v>
      </c>
    </row>
    <row r="83" spans="2:17" s="15" customFormat="1"/>
    <row r="84" spans="2:17" s="15" customFormat="1" hidden="1" outlineLevel="2">
      <c r="E84" s="167" t="s">
        <v>239</v>
      </c>
      <c r="J84" s="95">
        <f t="shared" ref="J84:Q84" si="37">IF(ISERROR(J82-(J78+J79+J81)),1,0)</f>
        <v>0</v>
      </c>
      <c r="K84" s="95">
        <f t="shared" si="37"/>
        <v>0</v>
      </c>
      <c r="L84" s="95">
        <f t="shared" si="37"/>
        <v>0</v>
      </c>
      <c r="M84" s="95">
        <f t="shared" ca="1" si="37"/>
        <v>0</v>
      </c>
      <c r="N84" s="95">
        <f t="shared" ca="1" si="37"/>
        <v>0</v>
      </c>
      <c r="O84" s="95">
        <f t="shared" ca="1" si="37"/>
        <v>0</v>
      </c>
      <c r="P84" s="95">
        <f t="shared" ca="1" si="37"/>
        <v>0</v>
      </c>
      <c r="Q84" s="95">
        <f t="shared" ca="1" si="37"/>
        <v>0</v>
      </c>
    </row>
    <row r="85" spans="2:17" s="15" customFormat="1" hidden="1" outlineLevel="2">
      <c r="E85" s="167" t="s">
        <v>240</v>
      </c>
      <c r="J85" s="124">
        <f t="shared" ref="J85:Q85" si="38">IF(J84&lt;&gt;0,0,(ROUND(J82-(J78+J79+J81),5)&lt;&gt;0)*1)</f>
        <v>0</v>
      </c>
      <c r="K85" s="124">
        <f t="shared" si="38"/>
        <v>0</v>
      </c>
      <c r="L85" s="124">
        <f t="shared" si="38"/>
        <v>0</v>
      </c>
      <c r="M85" s="124">
        <f t="shared" ca="1" si="38"/>
        <v>0</v>
      </c>
      <c r="N85" s="124">
        <f t="shared" ca="1" si="38"/>
        <v>0</v>
      </c>
      <c r="O85" s="124">
        <f t="shared" ca="1" si="38"/>
        <v>0</v>
      </c>
      <c r="P85" s="124">
        <f t="shared" ca="1" si="38"/>
        <v>0</v>
      </c>
      <c r="Q85" s="124">
        <f t="shared" ca="1" si="38"/>
        <v>0</v>
      </c>
    </row>
    <row r="86" spans="2:17" s="15" customFormat="1" collapsed="1">
      <c r="D86" s="167" t="s">
        <v>410</v>
      </c>
      <c r="I86" s="98">
        <f ca="1">IF(ISERROR(SUM(J86:Q86)),0,MIN(SUM(J86:Q86),1))</f>
        <v>0</v>
      </c>
      <c r="J86" s="95">
        <f t="shared" ref="J86:Q86" si="39">MIN(SUM(J84:J85),1)</f>
        <v>0</v>
      </c>
      <c r="K86" s="95">
        <f t="shared" si="39"/>
        <v>0</v>
      </c>
      <c r="L86" s="95">
        <f t="shared" si="39"/>
        <v>0</v>
      </c>
      <c r="M86" s="95">
        <f t="shared" ca="1" si="39"/>
        <v>0</v>
      </c>
      <c r="N86" s="95">
        <f t="shared" ca="1" si="39"/>
        <v>0</v>
      </c>
      <c r="O86" s="95">
        <f t="shared" ca="1" si="39"/>
        <v>0</v>
      </c>
      <c r="P86" s="95">
        <f t="shared" ca="1" si="39"/>
        <v>0</v>
      </c>
      <c r="Q86" s="95">
        <f t="shared" ca="1" si="39"/>
        <v>0</v>
      </c>
    </row>
    <row r="89" spans="2:17" ht="12.75">
      <c r="B89" s="119" t="s">
        <v>400</v>
      </c>
    </row>
    <row r="91" spans="2:17" s="15" customFormat="1" ht="11.25">
      <c r="C91" s="93" t="s">
        <v>474</v>
      </c>
    </row>
    <row r="92" spans="2:17" s="15" customFormat="1" ht="11.25">
      <c r="C92" s="93"/>
    </row>
    <row r="93" spans="2:17">
      <c r="D93" s="4" t="str">
        <f>Fcast_TA!$D$62</f>
        <v>Funds Drawn ($Millions)</v>
      </c>
    </row>
    <row r="95" spans="2:17">
      <c r="E95" s="5" t="str">
        <f>Fcast_TA!E64</f>
        <v>Opening Balance</v>
      </c>
      <c r="J95" s="94">
        <f>IF(J$12=0,0,IF(J$12=TS_Data_Full_Pers+1,Fcast_TA!$I$64,I98))</f>
        <v>0</v>
      </c>
      <c r="K95" s="94">
        <f>IF(K$12=0,0,IF(K$12=TS_Data_Full_Pers+1,Fcast_TA!$I$64,J98))</f>
        <v>0</v>
      </c>
      <c r="L95" s="94">
        <f>IF(L$12=0,0,IF(L$12=TS_Data_Full_Pers+1,Fcast_TA!$I$64,K98))</f>
        <v>0</v>
      </c>
      <c r="M95" s="94">
        <f ca="1">IF(M$12=0,0,IF(M$12=TS_Data_Full_Pers+1,Fcast_TA!$I$64,L98))</f>
        <v>50</v>
      </c>
      <c r="N95" s="94">
        <f ca="1">IF(N$12=0,0,IF(N$12=TS_Data_Full_Pers+1,Fcast_TA!$I$64,M98))</f>
        <v>50</v>
      </c>
      <c r="O95" s="94">
        <f ca="1">IF(O$12=0,0,IF(O$12=TS_Data_Full_Pers+1,Fcast_TA!$I$64,N98))</f>
        <v>55</v>
      </c>
      <c r="P95" s="94">
        <f ca="1">IF(P$12=0,0,IF(P$12=TS_Data_Full_Pers+1,Fcast_TA!$I$64,O98))</f>
        <v>55</v>
      </c>
      <c r="Q95" s="94">
        <f ca="1">IF(Q$12=0,0,IF(Q$12=TS_Data_Full_Pers+1,Fcast_TA!$I$64,P98))</f>
        <v>55</v>
      </c>
    </row>
    <row r="96" spans="2:17">
      <c r="E96" s="5" t="str">
        <f>Fcast_TA!E65</f>
        <v>Debt Drawdowns</v>
      </c>
      <c r="J96" s="94">
        <f>IF(J$12=0,0,Fcast_TA!J65)</f>
        <v>0</v>
      </c>
      <c r="K96" s="94">
        <f>IF(K$12=0,0,Fcast_TA!K65)</f>
        <v>0</v>
      </c>
      <c r="L96" s="94">
        <f>IF(L$12=0,0,Fcast_TA!L65)</f>
        <v>0</v>
      </c>
      <c r="M96" s="94">
        <f>IF(M$12=0,0,Fcast_TA!M65)</f>
        <v>0</v>
      </c>
      <c r="N96" s="94">
        <f>IF(N$12=0,0,Fcast_TA!N65)</f>
        <v>50</v>
      </c>
      <c r="O96" s="94">
        <f>IF(O$12=0,0,Fcast_TA!O65)</f>
        <v>0</v>
      </c>
      <c r="P96" s="94">
        <f>IF(P$12=0,0,Fcast_TA!P65)</f>
        <v>0</v>
      </c>
      <c r="Q96" s="94">
        <f>IF(Q$12=0,0,Fcast_TA!Q65)</f>
        <v>0</v>
      </c>
    </row>
    <row r="97" spans="4:17">
      <c r="E97" s="5" t="str">
        <f>Fcast_TA!E66</f>
        <v>Debt Repayments</v>
      </c>
      <c r="J97" s="96">
        <f>IF(J$12=0,0,-Fcast_TA!J66)</f>
        <v>0</v>
      </c>
      <c r="K97" s="96">
        <f>IF(K$12=0,0,-Fcast_TA!K66)</f>
        <v>0</v>
      </c>
      <c r="L97" s="96">
        <f>IF(L$12=0,0,-Fcast_TA!L66)</f>
        <v>0</v>
      </c>
      <c r="M97" s="96">
        <f>IF(M$12=0,0,-Fcast_TA!M66)</f>
        <v>0</v>
      </c>
      <c r="N97" s="96">
        <f>IF(N$12=0,0,-Fcast_TA!N66)</f>
        <v>-45</v>
      </c>
      <c r="O97" s="96">
        <f>IF(O$12=0,0,-Fcast_TA!O66)</f>
        <v>0</v>
      </c>
      <c r="P97" s="96">
        <f>IF(P$12=0,0,-Fcast_TA!P66)</f>
        <v>0</v>
      </c>
      <c r="Q97" s="96">
        <f>IF(Q$12=0,0,-Fcast_TA!Q66)</f>
        <v>0</v>
      </c>
    </row>
    <row r="98" spans="4:17">
      <c r="E98" s="4" t="str">
        <f>Fcast_TA!E67</f>
        <v>Closing Debt Balance</v>
      </c>
      <c r="J98" s="97">
        <f>SUM(J95:J97)</f>
        <v>0</v>
      </c>
      <c r="K98" s="97">
        <f t="shared" ref="K98:Q98" si="40">SUM(K95:K97)</f>
        <v>0</v>
      </c>
      <c r="L98" s="97">
        <f t="shared" si="40"/>
        <v>0</v>
      </c>
      <c r="M98" s="97">
        <f t="shared" ca="1" si="40"/>
        <v>50</v>
      </c>
      <c r="N98" s="97">
        <f t="shared" ca="1" si="40"/>
        <v>55</v>
      </c>
      <c r="O98" s="97">
        <f t="shared" ca="1" si="40"/>
        <v>55</v>
      </c>
      <c r="P98" s="97">
        <f t="shared" ca="1" si="40"/>
        <v>55</v>
      </c>
      <c r="Q98" s="97">
        <f t="shared" ca="1" si="40"/>
        <v>55</v>
      </c>
    </row>
    <row r="100" spans="4:17">
      <c r="D100" s="4" t="str">
        <f>Fcast_TA!$D$71</f>
        <v>Interest Expense</v>
      </c>
    </row>
    <row r="102" spans="4:17">
      <c r="E102" s="5" t="str">
        <f>Fcast_TA!E75</f>
        <v>Base Interest Rate (% p.a.)</v>
      </c>
      <c r="J102" s="131">
        <f>IF(J$12=0,0,Fcast_TA!J75)</f>
        <v>0</v>
      </c>
      <c r="K102" s="131">
        <f>IF(K$12=0,0,Fcast_TA!K75)</f>
        <v>0</v>
      </c>
      <c r="L102" s="131">
        <f>IF(L$12=0,0,Fcast_TA!L75)</f>
        <v>0</v>
      </c>
      <c r="M102" s="131">
        <f>IF(M$12=0,0,Fcast_TA!M75)</f>
        <v>0.05</v>
      </c>
      <c r="N102" s="131">
        <f>IF(N$12=0,0,Fcast_TA!N75)</f>
        <v>0.05</v>
      </c>
      <c r="O102" s="131">
        <f>IF(O$12=0,0,Fcast_TA!O75)</f>
        <v>0.05</v>
      </c>
      <c r="P102" s="131">
        <f>IF(P$12=0,0,Fcast_TA!P75)</f>
        <v>0.05</v>
      </c>
      <c r="Q102" s="131">
        <f>IF(Q$12=0,0,Fcast_TA!Q75)</f>
        <v>0.05</v>
      </c>
    </row>
    <row r="103" spans="4:17">
      <c r="E103" s="5" t="str">
        <f>Fcast_TA!E76</f>
        <v>Margin (% p.a.)</v>
      </c>
      <c r="J103" s="131">
        <f>IF(J$12=0,0,Fcast_TA!J76)</f>
        <v>0</v>
      </c>
      <c r="K103" s="131">
        <f>IF(K$12=0,0,Fcast_TA!K76)</f>
        <v>0</v>
      </c>
      <c r="L103" s="131">
        <f>IF(L$12=0,0,Fcast_TA!L76)</f>
        <v>0</v>
      </c>
      <c r="M103" s="131">
        <f>IF(M$12=0,0,Fcast_TA!M76)</f>
        <v>1.4999999999999999E-2</v>
      </c>
      <c r="N103" s="131">
        <f>IF(N$12=0,0,Fcast_TA!N76)</f>
        <v>1.4999999999999999E-2</v>
      </c>
      <c r="O103" s="131">
        <f>IF(O$12=0,0,Fcast_TA!O76)</f>
        <v>1.4999999999999999E-2</v>
      </c>
      <c r="P103" s="131">
        <f>IF(P$12=0,0,Fcast_TA!P76)</f>
        <v>1.4999999999999999E-2</v>
      </c>
      <c r="Q103" s="131">
        <f>IF(Q$12=0,0,Fcast_TA!Q76)</f>
        <v>1.4999999999999999E-2</v>
      </c>
    </row>
    <row r="104" spans="4:17">
      <c r="E104" s="5" t="str">
        <f>Fcast_TA!E77</f>
        <v>All-In Interest Rate (% p.a.)</v>
      </c>
      <c r="J104" s="135">
        <f>SUM(J102:J103)</f>
        <v>0</v>
      </c>
      <c r="K104" s="135">
        <f t="shared" ref="K104:Q104" si="41">SUM(K102:K103)</f>
        <v>0</v>
      </c>
      <c r="L104" s="135">
        <f t="shared" si="41"/>
        <v>0</v>
      </c>
      <c r="M104" s="135">
        <f t="shared" si="41"/>
        <v>6.5000000000000002E-2</v>
      </c>
      <c r="N104" s="135">
        <f t="shared" si="41"/>
        <v>6.5000000000000002E-2</v>
      </c>
      <c r="O104" s="135">
        <f t="shared" si="41"/>
        <v>6.5000000000000002E-2</v>
      </c>
      <c r="P104" s="135">
        <f t="shared" si="41"/>
        <v>6.5000000000000002E-2</v>
      </c>
      <c r="Q104" s="135">
        <f t="shared" si="41"/>
        <v>6.5000000000000002E-2</v>
      </c>
    </row>
    <row r="106" spans="4:17" s="15" customFormat="1">
      <c r="E106" s="116" t="str">
        <f>Mth_Name&amp;"s in "&amp;CHOOSE(MATCH(TS_Periodicity,LU_Periodicity,0),
"Financial "&amp;Yr_Name,
Half_Yr_Name,
Qtr_Name,
Mth_Name)</f>
        <v>Months in Financial Year</v>
      </c>
      <c r="J106" s="141">
        <f t="shared" ref="J106:Q106" si="42">IF(J$12=0,0,Mths_In_Yr/INDEX(LU_Pers_In_Yr,MATCH(TS_Periodicity,LU_Periodicity,0)))</f>
        <v>0</v>
      </c>
      <c r="K106" s="141">
        <f t="shared" si="42"/>
        <v>0</v>
      </c>
      <c r="L106" s="141">
        <f t="shared" si="42"/>
        <v>0</v>
      </c>
      <c r="M106" s="141">
        <f t="shared" si="42"/>
        <v>12</v>
      </c>
      <c r="N106" s="141">
        <f t="shared" si="42"/>
        <v>12</v>
      </c>
      <c r="O106" s="141">
        <f t="shared" si="42"/>
        <v>12</v>
      </c>
      <c r="P106" s="141">
        <f t="shared" si="42"/>
        <v>12</v>
      </c>
      <c r="Q106" s="141">
        <f t="shared" si="42"/>
        <v>12</v>
      </c>
    </row>
    <row r="107" spans="4:17">
      <c r="E107" s="107" t="s">
        <v>255</v>
      </c>
      <c r="J107" s="118">
        <f t="shared" ref="J107:Q107" si="43">IF(J$12=0,0,IF(J$12=1,IF(J$9=EOMONTH(J$9,0),(DAY(EOMONTH(J$8,0))-DAY(J$8)+1)/DAY(EOMONTH(J$8,0))+MONTH(J$9)-MONTH(J$8)+(YEAR(J$9)&lt;&gt;YEAR(J$8))*Mths_In_Yr,J106)/Mths_In_Yr,
1/(Mths_In_Yr/J106)))</f>
        <v>0</v>
      </c>
      <c r="K107" s="118">
        <f t="shared" si="43"/>
        <v>0</v>
      </c>
      <c r="L107" s="118">
        <f t="shared" si="43"/>
        <v>0</v>
      </c>
      <c r="M107" s="118">
        <f t="shared" si="43"/>
        <v>1</v>
      </c>
      <c r="N107" s="118">
        <f t="shared" si="43"/>
        <v>1</v>
      </c>
      <c r="O107" s="118">
        <f t="shared" si="43"/>
        <v>1</v>
      </c>
      <c r="P107" s="118">
        <f t="shared" si="43"/>
        <v>1</v>
      </c>
      <c r="Q107" s="118">
        <f t="shared" si="43"/>
        <v>1</v>
      </c>
    </row>
    <row r="108" spans="4:17">
      <c r="E108" s="5" t="str">
        <f>Fcast_TA!$E$69</f>
        <v>Drawdowns/Repayments % into Period</v>
      </c>
      <c r="J108" s="118">
        <f>IF(J$12=0,0,Fcast_TA!J69)</f>
        <v>0</v>
      </c>
      <c r="K108" s="118">
        <f>IF(K$12=0,0,Fcast_TA!K69)</f>
        <v>0</v>
      </c>
      <c r="L108" s="118">
        <f>IF(L$12=0,0,Fcast_TA!L69)</f>
        <v>0</v>
      </c>
      <c r="M108" s="118">
        <f>IF(M$12=0,0,Fcast_TA!M69)</f>
        <v>0.5</v>
      </c>
      <c r="N108" s="118">
        <f>IF(N$12=0,0,Fcast_TA!N69)</f>
        <v>0.5</v>
      </c>
      <c r="O108" s="118">
        <f>IF(O$12=0,0,Fcast_TA!O69)</f>
        <v>0.5</v>
      </c>
      <c r="P108" s="118">
        <f>IF(P$12=0,0,Fcast_TA!P69)</f>
        <v>0.5</v>
      </c>
      <c r="Q108" s="118">
        <f>IF(Q$12=0,0,Fcast_TA!Q69)</f>
        <v>0.5</v>
      </c>
    </row>
    <row r="109" spans="4:17">
      <c r="E109" s="107" t="s">
        <v>256</v>
      </c>
      <c r="J109" s="96">
        <f>J95*J108+(1-J108)*J98</f>
        <v>0</v>
      </c>
      <c r="K109" s="96">
        <f t="shared" ref="K109:Q109" si="44">K95*K108+(1-K108)*K98</f>
        <v>0</v>
      </c>
      <c r="L109" s="96">
        <f t="shared" si="44"/>
        <v>0</v>
      </c>
      <c r="M109" s="96">
        <f t="shared" ca="1" si="44"/>
        <v>50</v>
      </c>
      <c r="N109" s="96">
        <f t="shared" ca="1" si="44"/>
        <v>52.5</v>
      </c>
      <c r="O109" s="96">
        <f t="shared" ca="1" si="44"/>
        <v>55</v>
      </c>
      <c r="P109" s="96">
        <f t="shared" ca="1" si="44"/>
        <v>55</v>
      </c>
      <c r="Q109" s="96">
        <f t="shared" ca="1" si="44"/>
        <v>55</v>
      </c>
    </row>
    <row r="110" spans="4:17">
      <c r="E110" s="168" t="s">
        <v>250</v>
      </c>
      <c r="J110" s="97">
        <f>J104*J107*J109</f>
        <v>0</v>
      </c>
      <c r="K110" s="97">
        <f t="shared" ref="K110:Q110" si="45">K104*K107*K109</f>
        <v>0</v>
      </c>
      <c r="L110" s="97">
        <f t="shared" si="45"/>
        <v>0</v>
      </c>
      <c r="M110" s="97">
        <f t="shared" ca="1" si="45"/>
        <v>3.25</v>
      </c>
      <c r="N110" s="97">
        <f t="shared" ca="1" si="45"/>
        <v>3.4125000000000001</v>
      </c>
      <c r="O110" s="97">
        <f t="shared" ca="1" si="45"/>
        <v>3.5750000000000002</v>
      </c>
      <c r="P110" s="97">
        <f t="shared" ca="1" si="45"/>
        <v>3.5750000000000002</v>
      </c>
      <c r="Q110" s="97">
        <f t="shared" ca="1" si="45"/>
        <v>3.5750000000000002</v>
      </c>
    </row>
    <row r="112" spans="4:17">
      <c r="E112" s="5" t="str">
        <f>Fcast_TA!$E$73</f>
        <v>Opening Interest Payable ($Millions)</v>
      </c>
      <c r="J112" s="94">
        <f>IF(J$12=0,0,IF(J$12=TS_Data_Full_Pers+1,Fcast_TA!$I$73,I115))</f>
        <v>0</v>
      </c>
      <c r="K112" s="94">
        <f>IF(K$12=0,0,IF(K$12=TS_Data_Full_Pers+1,Fcast_TA!$I$73,J115))</f>
        <v>0</v>
      </c>
      <c r="L112" s="94">
        <f>IF(L$12=0,0,IF(L$12=TS_Data_Full_Pers+1,Fcast_TA!$I$73,K115))</f>
        <v>0</v>
      </c>
      <c r="M112" s="94">
        <f ca="1">IF(M$12=0,0,IF(M$12=TS_Data_Full_Pers+1,Fcast_TA!$I$73,L115))</f>
        <v>0</v>
      </c>
      <c r="N112" s="94">
        <f ca="1">IF(N$12=0,0,IF(N$12=TS_Data_Full_Pers+1,Fcast_TA!$I$73,M115))</f>
        <v>0</v>
      </c>
      <c r="O112" s="94">
        <f ca="1">IF(O$12=0,0,IF(O$12=TS_Data_Full_Pers+1,Fcast_TA!$I$73,N115))</f>
        <v>0</v>
      </c>
      <c r="P112" s="94">
        <f ca="1">IF(P$12=0,0,IF(P$12=TS_Data_Full_Pers+1,Fcast_TA!$I$73,O115))</f>
        <v>0</v>
      </c>
      <c r="Q112" s="94">
        <f ca="1">IF(Q$12=0,0,IF(Q$12=TS_Data_Full_Pers+1,Fcast_TA!$I$73,P115))</f>
        <v>0</v>
      </c>
    </row>
    <row r="113" spans="3:17">
      <c r="E113" s="5" t="str">
        <f>$E$110</f>
        <v>Interest Expense</v>
      </c>
      <c r="J113" s="94">
        <f t="shared" ref="J113:Q113" si="46">J110</f>
        <v>0</v>
      </c>
      <c r="K113" s="94">
        <f t="shared" si="46"/>
        <v>0</v>
      </c>
      <c r="L113" s="94">
        <f t="shared" si="46"/>
        <v>0</v>
      </c>
      <c r="M113" s="94">
        <f t="shared" ca="1" si="46"/>
        <v>3.25</v>
      </c>
      <c r="N113" s="94">
        <f t="shared" ca="1" si="46"/>
        <v>3.4125000000000001</v>
      </c>
      <c r="O113" s="94">
        <f t="shared" ca="1" si="46"/>
        <v>3.5750000000000002</v>
      </c>
      <c r="P113" s="94">
        <f t="shared" ca="1" si="46"/>
        <v>3.5750000000000002</v>
      </c>
      <c r="Q113" s="94">
        <f t="shared" ca="1" si="46"/>
        <v>3.5750000000000002</v>
      </c>
    </row>
    <row r="114" spans="3:17">
      <c r="E114" s="107" t="s">
        <v>257</v>
      </c>
      <c r="J114" s="96">
        <f t="shared" ref="J114:Q114" si="47">-J113</f>
        <v>0</v>
      </c>
      <c r="K114" s="96">
        <f t="shared" si="47"/>
        <v>0</v>
      </c>
      <c r="L114" s="96">
        <f t="shared" si="47"/>
        <v>0</v>
      </c>
      <c r="M114" s="96">
        <f t="shared" ca="1" si="47"/>
        <v>-3.25</v>
      </c>
      <c r="N114" s="96">
        <f t="shared" ca="1" si="47"/>
        <v>-3.4125000000000001</v>
      </c>
      <c r="O114" s="96">
        <f t="shared" ca="1" si="47"/>
        <v>-3.5750000000000002</v>
      </c>
      <c r="P114" s="96">
        <f t="shared" ca="1" si="47"/>
        <v>-3.5750000000000002</v>
      </c>
      <c r="Q114" s="96">
        <f t="shared" ca="1" si="47"/>
        <v>-3.5750000000000002</v>
      </c>
    </row>
    <row r="115" spans="3:17">
      <c r="E115" s="108" t="s">
        <v>258</v>
      </c>
      <c r="J115" s="94">
        <f t="shared" ref="J115:Q115" si="48">SUM(J112:J114)</f>
        <v>0</v>
      </c>
      <c r="K115" s="94">
        <f t="shared" si="48"/>
        <v>0</v>
      </c>
      <c r="L115" s="94">
        <f t="shared" si="48"/>
        <v>0</v>
      </c>
      <c r="M115" s="94">
        <f t="shared" ca="1" si="48"/>
        <v>0</v>
      </c>
      <c r="N115" s="94">
        <f t="shared" ca="1" si="48"/>
        <v>0</v>
      </c>
      <c r="O115" s="94">
        <f t="shared" ca="1" si="48"/>
        <v>0</v>
      </c>
      <c r="P115" s="94">
        <f t="shared" ca="1" si="48"/>
        <v>0</v>
      </c>
      <c r="Q115" s="94">
        <f t="shared" ca="1" si="48"/>
        <v>0</v>
      </c>
    </row>
    <row r="117" spans="3:17" ht="11.25">
      <c r="C117" s="93" t="s">
        <v>415</v>
      </c>
    </row>
    <row r="119" spans="3:17">
      <c r="D119" s="4" t="str">
        <f>Fcast_TA!$D$81</f>
        <v>Ordinary Equity Balances ($Millions)</v>
      </c>
    </row>
    <row r="121" spans="3:17">
      <c r="E121" s="5" t="str">
        <f>Fcast_TA!E83</f>
        <v>Opening Balance</v>
      </c>
      <c r="J121" s="94">
        <f>IF(J$12=0,0,IF(J$12=TS_Data_Full_Pers+1,Fcast_TA!$I$83,I124))</f>
        <v>0</v>
      </c>
      <c r="K121" s="94">
        <f>IF(K$12=0,0,IF(K$12=TS_Data_Full_Pers+1,Fcast_TA!$I$83,J124))</f>
        <v>0</v>
      </c>
      <c r="L121" s="94">
        <f>IF(L$12=0,0,IF(L$12=TS_Data_Full_Pers+1,Fcast_TA!$I$83,K124))</f>
        <v>0</v>
      </c>
      <c r="M121" s="94">
        <f ca="1">IF(M$12=0,0,IF(M$12=TS_Data_Full_Pers+1,Fcast_TA!$I$83,L124))</f>
        <v>75</v>
      </c>
      <c r="N121" s="94">
        <f ca="1">IF(N$12=0,0,IF(N$12=TS_Data_Full_Pers+1,Fcast_TA!$I$83,M124))</f>
        <v>75</v>
      </c>
      <c r="O121" s="94">
        <f ca="1">IF(O$12=0,0,IF(O$12=TS_Data_Full_Pers+1,Fcast_TA!$I$83,N124))</f>
        <v>75</v>
      </c>
      <c r="P121" s="94">
        <f ca="1">IF(P$12=0,0,IF(P$12=TS_Data_Full_Pers+1,Fcast_TA!$I$83,O124))</f>
        <v>75</v>
      </c>
      <c r="Q121" s="94">
        <f ca="1">IF(Q$12=0,0,IF(Q$12=TS_Data_Full_Pers+1,Fcast_TA!$I$83,P124))</f>
        <v>75</v>
      </c>
    </row>
    <row r="122" spans="3:17">
      <c r="E122" s="5" t="str">
        <f>Fcast_TA!E84</f>
        <v>Equity Raisings</v>
      </c>
      <c r="J122" s="94">
        <f>IF(J$12=0,0,Fcast_TA!J84)</f>
        <v>0</v>
      </c>
      <c r="K122" s="94">
        <f>IF(K$12=0,0,Fcast_TA!K84)</f>
        <v>0</v>
      </c>
      <c r="L122" s="94">
        <f>IF(L$12=0,0,Fcast_TA!L84)</f>
        <v>0</v>
      </c>
      <c r="M122" s="94">
        <f>IF(M$12=0,0,Fcast_TA!M84)</f>
        <v>0</v>
      </c>
      <c r="N122" s="94">
        <f>IF(N$12=0,0,Fcast_TA!N84)</f>
        <v>0</v>
      </c>
      <c r="O122" s="94">
        <f>IF(O$12=0,0,Fcast_TA!O84)</f>
        <v>0</v>
      </c>
      <c r="P122" s="94">
        <f>IF(P$12=0,0,Fcast_TA!P84)</f>
        <v>0</v>
      </c>
      <c r="Q122" s="94">
        <f>IF(Q$12=0,0,Fcast_TA!Q84)</f>
        <v>0</v>
      </c>
    </row>
    <row r="123" spans="3:17">
      <c r="E123" s="5" t="str">
        <f>Fcast_TA!E85</f>
        <v>Equity Repayments</v>
      </c>
      <c r="J123" s="96">
        <f>IF(J$12=0,0,-Fcast_TA!J85)</f>
        <v>0</v>
      </c>
      <c r="K123" s="96">
        <f>IF(K$12=0,0,-Fcast_TA!K85)</f>
        <v>0</v>
      </c>
      <c r="L123" s="96">
        <f>IF(L$12=0,0,-Fcast_TA!L85)</f>
        <v>0</v>
      </c>
      <c r="M123" s="96">
        <f>IF(M$12=0,0,-Fcast_TA!M85)</f>
        <v>0</v>
      </c>
      <c r="N123" s="96">
        <f>IF(N$12=0,0,-Fcast_TA!N85)</f>
        <v>0</v>
      </c>
      <c r="O123" s="96">
        <f>IF(O$12=0,0,-Fcast_TA!O85)</f>
        <v>0</v>
      </c>
      <c r="P123" s="96">
        <f>IF(P$12=0,0,-Fcast_TA!P85)</f>
        <v>0</v>
      </c>
      <c r="Q123" s="96">
        <f>IF(Q$12=0,0,-Fcast_TA!Q85)</f>
        <v>0</v>
      </c>
    </row>
    <row r="124" spans="3:17">
      <c r="E124" s="4" t="str">
        <f>Fcast_TA!E86</f>
        <v>Closing Ordinary Equity</v>
      </c>
      <c r="J124" s="97">
        <f>SUM(J121:J123)</f>
        <v>0</v>
      </c>
      <c r="K124" s="97">
        <f t="shared" ref="K124:Q124" si="49">SUM(K121:K123)</f>
        <v>0</v>
      </c>
      <c r="L124" s="97">
        <f t="shared" si="49"/>
        <v>0</v>
      </c>
      <c r="M124" s="97">
        <f t="shared" ca="1" si="49"/>
        <v>75</v>
      </c>
      <c r="N124" s="97">
        <f t="shared" ca="1" si="49"/>
        <v>75</v>
      </c>
      <c r="O124" s="97">
        <f t="shared" ca="1" si="49"/>
        <v>75</v>
      </c>
      <c r="P124" s="97">
        <f t="shared" ca="1" si="49"/>
        <v>75</v>
      </c>
      <c r="Q124" s="97">
        <f t="shared" ca="1" si="49"/>
        <v>75</v>
      </c>
    </row>
    <row r="126" spans="3:17">
      <c r="D126" s="4" t="str">
        <f>Fcast_TA!$D$88</f>
        <v>Dividends Payable &amp; Paid</v>
      </c>
    </row>
    <row r="128" spans="3:17">
      <c r="E128" s="107" t="s">
        <v>245</v>
      </c>
      <c r="J128" s="94">
        <f>IF(J$12=0,0,IF(J$12=TS_Data_Full_Pers+1,Fcast_TA!$I$90,I131))</f>
        <v>0</v>
      </c>
      <c r="K128" s="94">
        <f>IF(K$12=0,0,IF(K$12=TS_Data_Full_Pers+1,Fcast_TA!$I$90,J131))</f>
        <v>0</v>
      </c>
      <c r="L128" s="94">
        <f>IF(L$12=0,0,IF(L$12=TS_Data_Full_Pers+1,Fcast_TA!$I$90,K131))</f>
        <v>0</v>
      </c>
      <c r="M128" s="94">
        <f ca="1">IF(M$12=0,0,IF(M$12=TS_Data_Full_Pers+1,Fcast_TA!$I$90,L131))</f>
        <v>0</v>
      </c>
      <c r="N128" s="94">
        <f ca="1">IF(N$12=0,0,IF(N$12=TS_Data_Full_Pers+1,Fcast_TA!$I$90,M131))</f>
        <v>0</v>
      </c>
      <c r="O128" s="94">
        <f ca="1">IF(O$12=0,0,IF(O$12=TS_Data_Full_Pers+1,Fcast_TA!$I$90,N131))</f>
        <v>0</v>
      </c>
      <c r="P128" s="94">
        <f ca="1">IF(P$12=0,0,IF(P$12=TS_Data_Full_Pers+1,Fcast_TA!$I$90,O131))</f>
        <v>0</v>
      </c>
      <c r="Q128" s="94">
        <f ca="1">IF(Q$12=0,0,IF(Q$12=TS_Data_Full_Pers+1,Fcast_TA!$I$90,P131))</f>
        <v>0</v>
      </c>
    </row>
    <row r="129" spans="4:17">
      <c r="E129" s="107" t="s">
        <v>272</v>
      </c>
      <c r="J129" s="94">
        <f t="shared" ref="J129:Q129" si="50">J155</f>
        <v>0</v>
      </c>
      <c r="K129" s="94">
        <f t="shared" si="50"/>
        <v>0</v>
      </c>
      <c r="L129" s="94">
        <f t="shared" si="50"/>
        <v>0</v>
      </c>
      <c r="M129" s="94">
        <f t="shared" ca="1" si="50"/>
        <v>16.153325097656253</v>
      </c>
      <c r="N129" s="94">
        <f t="shared" ca="1" si="50"/>
        <v>16.528720725097664</v>
      </c>
      <c r="O129" s="94">
        <f t="shared" ca="1" si="50"/>
        <v>16.914923118225101</v>
      </c>
      <c r="P129" s="94">
        <f t="shared" ca="1" si="50"/>
        <v>17.369077446180725</v>
      </c>
      <c r="Q129" s="94">
        <f t="shared" ca="1" si="50"/>
        <v>17.834585632335237</v>
      </c>
    </row>
    <row r="130" spans="4:17">
      <c r="E130" s="107" t="s">
        <v>273</v>
      </c>
      <c r="J130" s="96">
        <f t="shared" ref="J130:Q130" si="51">-J129</f>
        <v>0</v>
      </c>
      <c r="K130" s="96">
        <f t="shared" si="51"/>
        <v>0</v>
      </c>
      <c r="L130" s="96">
        <f t="shared" si="51"/>
        <v>0</v>
      </c>
      <c r="M130" s="96">
        <f t="shared" ca="1" si="51"/>
        <v>-16.153325097656253</v>
      </c>
      <c r="N130" s="96">
        <f t="shared" ca="1" si="51"/>
        <v>-16.528720725097664</v>
      </c>
      <c r="O130" s="96">
        <f t="shared" ca="1" si="51"/>
        <v>-16.914923118225101</v>
      </c>
      <c r="P130" s="96">
        <f t="shared" ca="1" si="51"/>
        <v>-17.369077446180725</v>
      </c>
      <c r="Q130" s="96">
        <f t="shared" ca="1" si="51"/>
        <v>-17.834585632335237</v>
      </c>
    </row>
    <row r="131" spans="4:17">
      <c r="E131" s="108" t="s">
        <v>274</v>
      </c>
      <c r="J131" s="97">
        <f t="shared" ref="J131:Q131" si="52">SUM(J128:J130)</f>
        <v>0</v>
      </c>
      <c r="K131" s="97">
        <f t="shared" si="52"/>
        <v>0</v>
      </c>
      <c r="L131" s="97">
        <f t="shared" si="52"/>
        <v>0</v>
      </c>
      <c r="M131" s="97">
        <f t="shared" ca="1" si="52"/>
        <v>0</v>
      </c>
      <c r="N131" s="97">
        <f t="shared" ca="1" si="52"/>
        <v>0</v>
      </c>
      <c r="O131" s="97">
        <f t="shared" ca="1" si="52"/>
        <v>0</v>
      </c>
      <c r="P131" s="97">
        <f t="shared" ca="1" si="52"/>
        <v>0</v>
      </c>
      <c r="Q131" s="97">
        <f t="shared" ca="1" si="52"/>
        <v>0</v>
      </c>
    </row>
    <row r="133" spans="4:17" hidden="1" outlineLevel="2">
      <c r="F133" s="107" t="s">
        <v>239</v>
      </c>
      <c r="J133" s="95">
        <f t="shared" ref="J133:Q133" si="53">IF(ISERROR(SUM(J121:J124,J128:J131)),1,0)</f>
        <v>0</v>
      </c>
      <c r="K133" s="95">
        <f t="shared" si="53"/>
        <v>0</v>
      </c>
      <c r="L133" s="95">
        <f t="shared" si="53"/>
        <v>0</v>
      </c>
      <c r="M133" s="95">
        <f t="shared" ca="1" si="53"/>
        <v>0</v>
      </c>
      <c r="N133" s="95">
        <f t="shared" ca="1" si="53"/>
        <v>0</v>
      </c>
      <c r="O133" s="95">
        <f t="shared" ca="1" si="53"/>
        <v>0</v>
      </c>
      <c r="P133" s="95">
        <f t="shared" ca="1" si="53"/>
        <v>0</v>
      </c>
      <c r="Q133" s="95">
        <f t="shared" ca="1" si="53"/>
        <v>0</v>
      </c>
    </row>
    <row r="134" spans="4:17" hidden="1" outlineLevel="2">
      <c r="F134" s="107" t="s">
        <v>275</v>
      </c>
      <c r="J134" s="101">
        <f t="shared" ref="J134:Q134" si="54">IF(J133&lt;&gt;0,0,OR(ROUND(J121,5)&lt;0,ROUND(J122,5)&lt;0,ROUND(J123,5)&gt;0,ROUND(J124,5)&lt;0,ROUND(J124-SUM(J121:J123),5)&lt;&gt;0)*1)</f>
        <v>0</v>
      </c>
      <c r="K134" s="101">
        <f t="shared" si="54"/>
        <v>0</v>
      </c>
      <c r="L134" s="101">
        <f t="shared" si="54"/>
        <v>0</v>
      </c>
      <c r="M134" s="101">
        <f t="shared" ca="1" si="54"/>
        <v>0</v>
      </c>
      <c r="N134" s="101">
        <f t="shared" ca="1" si="54"/>
        <v>0</v>
      </c>
      <c r="O134" s="101">
        <f t="shared" ca="1" si="54"/>
        <v>0</v>
      </c>
      <c r="P134" s="101">
        <f t="shared" ca="1" si="54"/>
        <v>0</v>
      </c>
      <c r="Q134" s="101">
        <f t="shared" ca="1" si="54"/>
        <v>0</v>
      </c>
    </row>
    <row r="135" spans="4:17" hidden="1" outlineLevel="2">
      <c r="F135" s="107" t="s">
        <v>276</v>
      </c>
      <c r="J135" s="124">
        <f t="shared" ref="J135:Q135" si="55">IF(J133&lt;&gt;0,0,OR(ROUND(J128,5)&lt;0,ROUND(J129,5)&lt;0,ROUND(J130,5)&gt;0,ROUND(J131,5)&lt;0,ROUND(J131-SUM(J128:J130),5)&lt;&gt;0)*1)</f>
        <v>0</v>
      </c>
      <c r="K135" s="124">
        <f t="shared" si="55"/>
        <v>0</v>
      </c>
      <c r="L135" s="124">
        <f t="shared" si="55"/>
        <v>0</v>
      </c>
      <c r="M135" s="124">
        <f t="shared" ca="1" si="55"/>
        <v>0</v>
      </c>
      <c r="N135" s="124">
        <f t="shared" ca="1" si="55"/>
        <v>0</v>
      </c>
      <c r="O135" s="124">
        <f t="shared" ca="1" si="55"/>
        <v>0</v>
      </c>
      <c r="P135" s="124">
        <f t="shared" ca="1" si="55"/>
        <v>0</v>
      </c>
      <c r="Q135" s="124">
        <f t="shared" ca="1" si="55"/>
        <v>0</v>
      </c>
    </row>
    <row r="136" spans="4:17" collapsed="1">
      <c r="E136" s="107" t="s">
        <v>410</v>
      </c>
      <c r="I136" s="98">
        <f ca="1">IF(ISERROR(SUM(J136:Q136)),0,MIN(SUM(J136:Q136),1))</f>
        <v>0</v>
      </c>
      <c r="J136" s="95">
        <f t="shared" ref="J136:Q136" si="56">IF(ISERROR(SUM(J133:J135)),1,
MIN(1,SUM(J133:J135)))</f>
        <v>0</v>
      </c>
      <c r="K136" s="95">
        <f t="shared" si="56"/>
        <v>0</v>
      </c>
      <c r="L136" s="95">
        <f t="shared" si="56"/>
        <v>0</v>
      </c>
      <c r="M136" s="95">
        <f t="shared" ca="1" si="56"/>
        <v>0</v>
      </c>
      <c r="N136" s="95">
        <f t="shared" ca="1" si="56"/>
        <v>0</v>
      </c>
      <c r="O136" s="95">
        <f t="shared" ca="1" si="56"/>
        <v>0</v>
      </c>
      <c r="P136" s="95">
        <f t="shared" ca="1" si="56"/>
        <v>0</v>
      </c>
      <c r="Q136" s="95">
        <f t="shared" ca="1" si="56"/>
        <v>0</v>
      </c>
    </row>
    <row r="137" spans="4:17" hidden="1" outlineLevel="2"/>
    <row r="138" spans="4:17" collapsed="1">
      <c r="E138" s="107" t="s">
        <v>423</v>
      </c>
      <c r="I138" s="98">
        <f ca="1">IF(ISERROR(SUM(J138:Q138)),0,MIN(SUM(J138:Q138),1))</f>
        <v>0</v>
      </c>
      <c r="J138" s="95">
        <f t="shared" ref="J138:Q138" si="57">IF(ISERROR(J154&lt;&gt;J155),0,(J154&lt;&gt;J155)*1)</f>
        <v>0</v>
      </c>
      <c r="K138" s="95">
        <f t="shared" si="57"/>
        <v>0</v>
      </c>
      <c r="L138" s="95">
        <f t="shared" si="57"/>
        <v>0</v>
      </c>
      <c r="M138" s="95">
        <f t="shared" ca="1" si="57"/>
        <v>0</v>
      </c>
      <c r="N138" s="95">
        <f t="shared" ca="1" si="57"/>
        <v>0</v>
      </c>
      <c r="O138" s="95">
        <f t="shared" ca="1" si="57"/>
        <v>0</v>
      </c>
      <c r="P138" s="95">
        <f t="shared" ca="1" si="57"/>
        <v>0</v>
      </c>
      <c r="Q138" s="95">
        <f t="shared" ca="1" si="57"/>
        <v>0</v>
      </c>
    </row>
    <row r="140" spans="4:17">
      <c r="D140" s="168" t="s">
        <v>422</v>
      </c>
    </row>
    <row r="142" spans="4:17">
      <c r="E142" s="5" t="str">
        <f>Fcast_TA!$E$92</f>
        <v>Determination Method:</v>
      </c>
      <c r="I142" s="5" t="str">
        <f>INDEX(LU_Eq_Ord_Div_Meth,DD_Eq_Ord_Div_Meth)</f>
        <v>% of NPAT</v>
      </c>
    </row>
    <row r="144" spans="4:17">
      <c r="E144" s="5" t="str">
        <f>Fcast_TA!$E$94</f>
        <v>Dividend Declaration Period?</v>
      </c>
      <c r="J144" s="251" t="str">
        <f>IF(J$12=0,"-",Fcast_TA!J94)</f>
        <v>-</v>
      </c>
      <c r="K144" s="251" t="str">
        <f>IF(K$12=0,"-",Fcast_TA!K94)</f>
        <v>-</v>
      </c>
      <c r="L144" s="251" t="str">
        <f>IF(L$12=0,"-",Fcast_TA!L94)</f>
        <v>-</v>
      </c>
      <c r="M144" s="251" t="str">
        <f>IF(M$12=0,"-",Fcast_TA!M94)</f>
        <v>Yes</v>
      </c>
      <c r="N144" s="251" t="str">
        <f>IF(N$12=0,"-",Fcast_TA!N94)</f>
        <v>Yes</v>
      </c>
      <c r="O144" s="251" t="str">
        <f>IF(O$12=0,"-",Fcast_TA!O94)</f>
        <v>Yes</v>
      </c>
      <c r="P144" s="251" t="str">
        <f>IF(P$12=0,"-",Fcast_TA!P94)</f>
        <v>Yes</v>
      </c>
      <c r="Q144" s="251" t="str">
        <f>IF(Q$12=0,"-",Fcast_TA!Q94)</f>
        <v>Yes</v>
      </c>
    </row>
    <row r="146" spans="2:17" s="24" customFormat="1">
      <c r="E146" s="146" t="s">
        <v>277</v>
      </c>
      <c r="J146" s="143">
        <f>BS_Fcast_TO!J61</f>
        <v>0</v>
      </c>
      <c r="K146" s="143">
        <f>BS_Fcast_TO!K61</f>
        <v>0</v>
      </c>
      <c r="L146" s="143">
        <f>BS_Fcast_TO!L61</f>
        <v>0</v>
      </c>
      <c r="M146" s="143">
        <f ca="1">BS_Fcast_TO!M61</f>
        <v>46.399527878852751</v>
      </c>
      <c r="N146" s="143">
        <f ca="1">BS_Fcast_TO!N61</f>
        <v>62.552852976509001</v>
      </c>
      <c r="O146" s="143">
        <f ca="1">BS_Fcast_TO!O61</f>
        <v>79.081573701606658</v>
      </c>
      <c r="P146" s="143">
        <f ca="1">BS_Fcast_TO!P61</f>
        <v>95.996496819831762</v>
      </c>
      <c r="Q146" s="143">
        <f ca="1">BS_Fcast_TO!Q61</f>
        <v>113.3655742660125</v>
      </c>
    </row>
    <row r="147" spans="2:17" s="24" customFormat="1">
      <c r="E147" s="146" t="s">
        <v>278</v>
      </c>
      <c r="J147" s="144">
        <f>IS_Fcast_TO!J39</f>
        <v>0</v>
      </c>
      <c r="K147" s="144">
        <f>IS_Fcast_TO!K39</f>
        <v>0</v>
      </c>
      <c r="L147" s="144">
        <f>IS_Fcast_TO!L39</f>
        <v>0</v>
      </c>
      <c r="M147" s="144">
        <f ca="1">IS_Fcast_TO!M39</f>
        <v>32.306650195312507</v>
      </c>
      <c r="N147" s="144">
        <f ca="1">IS_Fcast_TO!N39</f>
        <v>33.057441450195327</v>
      </c>
      <c r="O147" s="144">
        <f ca="1">IS_Fcast_TO!O39</f>
        <v>33.829846236450202</v>
      </c>
      <c r="P147" s="144">
        <f ca="1">IS_Fcast_TO!P39</f>
        <v>34.73815489236145</v>
      </c>
      <c r="Q147" s="144">
        <f ca="1">IS_Fcast_TO!Q39</f>
        <v>35.669171264670474</v>
      </c>
    </row>
    <row r="148" spans="2:17">
      <c r="E148" s="108" t="s">
        <v>281</v>
      </c>
      <c r="J148" s="97">
        <f t="shared" ref="J148:Q148" si="58">MAX(0,SUM(J146:J147))</f>
        <v>0</v>
      </c>
      <c r="K148" s="97">
        <f t="shared" si="58"/>
        <v>0</v>
      </c>
      <c r="L148" s="97">
        <f t="shared" si="58"/>
        <v>0</v>
      </c>
      <c r="M148" s="97">
        <f t="shared" ca="1" si="58"/>
        <v>78.706178074165251</v>
      </c>
      <c r="N148" s="97">
        <f t="shared" ca="1" si="58"/>
        <v>95.610294426704328</v>
      </c>
      <c r="O148" s="97">
        <f t="shared" ca="1" si="58"/>
        <v>112.91141993805687</v>
      </c>
      <c r="P148" s="97">
        <f t="shared" ca="1" si="58"/>
        <v>130.73465171219323</v>
      </c>
      <c r="Q148" s="97">
        <f t="shared" ca="1" si="58"/>
        <v>149.03474553068298</v>
      </c>
    </row>
    <row r="149" spans="2:17" s="24" customFormat="1">
      <c r="E149" s="146" t="s">
        <v>279</v>
      </c>
      <c r="J149" s="143">
        <f>BS_Fcast_TO!J20</f>
        <v>0</v>
      </c>
      <c r="K149" s="143">
        <f>BS_Fcast_TO!K20</f>
        <v>0</v>
      </c>
      <c r="L149" s="143">
        <f>BS_Fcast_TO!L20</f>
        <v>0</v>
      </c>
      <c r="M149" s="143">
        <f ca="1">BS_Fcast_TO!M20</f>
        <v>24.635307976188827</v>
      </c>
      <c r="N149" s="143">
        <f ca="1">BS_Fcast_TO!N20</f>
        <v>37.849752117669134</v>
      </c>
      <c r="O149" s="143">
        <f ca="1">BS_Fcast_TO!O20</f>
        <v>56.014020321295796</v>
      </c>
      <c r="P149" s="143">
        <f ca="1">BS_Fcast_TO!P20</f>
        <v>69.479098355013136</v>
      </c>
      <c r="Q149" s="143">
        <f ca="1">BS_Fcast_TO!Q20</f>
        <v>83.366715156101776</v>
      </c>
    </row>
    <row r="150" spans="2:17" s="24" customFormat="1">
      <c r="E150" s="146" t="s">
        <v>280</v>
      </c>
      <c r="J150" s="144">
        <f>CFS_Fcast_TO!J104</f>
        <v>0</v>
      </c>
      <c r="K150" s="144">
        <f>CFS_Fcast_TO!K104</f>
        <v>0</v>
      </c>
      <c r="L150" s="144">
        <f>CFS_Fcast_TO!L104</f>
        <v>0</v>
      </c>
      <c r="M150" s="144">
        <f ca="1">CFS_Fcast_TO!M104</f>
        <v>29.367769239136557</v>
      </c>
      <c r="N150" s="144">
        <f ca="1">CFS_Fcast_TO!N104</f>
        <v>34.692988928724326</v>
      </c>
      <c r="O150" s="144">
        <f ca="1">CFS_Fcast_TO!O104</f>
        <v>30.380001151942437</v>
      </c>
      <c r="P150" s="144">
        <f ca="1">CFS_Fcast_TO!P104</f>
        <v>31.256694247269365</v>
      </c>
      <c r="Q150" s="144">
        <f ca="1">CFS_Fcast_TO!Q104</f>
        <v>32.083671424981134</v>
      </c>
    </row>
    <row r="151" spans="2:17">
      <c r="E151" s="108" t="s">
        <v>282</v>
      </c>
      <c r="J151" s="97">
        <f t="shared" ref="J151:Q151" si="59">SUM(J149:J150)</f>
        <v>0</v>
      </c>
      <c r="K151" s="97">
        <f t="shared" si="59"/>
        <v>0</v>
      </c>
      <c r="L151" s="97">
        <f t="shared" si="59"/>
        <v>0</v>
      </c>
      <c r="M151" s="97">
        <f t="shared" ca="1" si="59"/>
        <v>54.003077215325384</v>
      </c>
      <c r="N151" s="97">
        <f t="shared" ca="1" si="59"/>
        <v>72.542741046393459</v>
      </c>
      <c r="O151" s="97">
        <f t="shared" ca="1" si="59"/>
        <v>86.39402147323824</v>
      </c>
      <c r="P151" s="97">
        <f t="shared" ca="1" si="59"/>
        <v>100.7357926022825</v>
      </c>
      <c r="Q151" s="97">
        <f t="shared" ca="1" si="59"/>
        <v>115.45038658108291</v>
      </c>
    </row>
    <row r="152" spans="2:17">
      <c r="E152" s="5" t="str">
        <f>Fcast_TA!E95</f>
        <v>Dividend Payout Ratio - % of NPAT</v>
      </c>
      <c r="J152" s="100">
        <f>IF(OR(J144&lt;&gt;"Yes",DD_Eq_Ord_Div_Meth&lt;&gt;1),0,Fcast_TA!J95)</f>
        <v>0</v>
      </c>
      <c r="K152" s="100">
        <f>IF(OR(K144&lt;&gt;"Yes",DD_Eq_Ord_Div_Meth&lt;&gt;1),0,Fcast_TA!K95)</f>
        <v>0</v>
      </c>
      <c r="L152" s="100">
        <f>IF(OR(L144&lt;&gt;"Yes",DD_Eq_Ord_Div_Meth&lt;&gt;1),0,Fcast_TA!L95)</f>
        <v>0</v>
      </c>
      <c r="M152" s="100">
        <f>IF(OR(M144&lt;&gt;"Yes",DD_Eq_Ord_Div_Meth&lt;&gt;1),0,Fcast_TA!M95)</f>
        <v>0.5</v>
      </c>
      <c r="N152" s="100">
        <f>IF(OR(N144&lt;&gt;"Yes",DD_Eq_Ord_Div_Meth&lt;&gt;1),0,Fcast_TA!N95)</f>
        <v>0.5</v>
      </c>
      <c r="O152" s="100">
        <f>IF(OR(O144&lt;&gt;"Yes",DD_Eq_Ord_Div_Meth&lt;&gt;1),0,Fcast_TA!O95)</f>
        <v>0.5</v>
      </c>
      <c r="P152" s="100">
        <f>IF(OR(P144&lt;&gt;"Yes",DD_Eq_Ord_Div_Meth&lt;&gt;1),0,Fcast_TA!P95)</f>
        <v>0.5</v>
      </c>
      <c r="Q152" s="100">
        <f>IF(OR(Q144&lt;&gt;"Yes",DD_Eq_Ord_Div_Meth&lt;&gt;1),0,Fcast_TA!Q95)</f>
        <v>0.5</v>
      </c>
    </row>
    <row r="153" spans="2:17">
      <c r="E153" s="5" t="str">
        <f>Fcast_TA!E96</f>
        <v>Assumed Dividends - Not Applied</v>
      </c>
      <c r="J153" s="123">
        <f>IF(OR(J144&lt;&gt;"Yes",DD_Eq_Ord_Div_Meth&lt;&gt;2),0,Fcast_TA!J96)</f>
        <v>0</v>
      </c>
      <c r="K153" s="123">
        <f>IF(OR(K144&lt;&gt;"Yes",DD_Eq_Ord_Div_Meth&lt;&gt;2),0,Fcast_TA!K96)</f>
        <v>0</v>
      </c>
      <c r="L153" s="123">
        <f>IF(OR(L144&lt;&gt;"Yes",DD_Eq_Ord_Div_Meth&lt;&gt;2),0,Fcast_TA!L96)</f>
        <v>0</v>
      </c>
      <c r="M153" s="123">
        <f>IF(OR(M144&lt;&gt;"Yes",DD_Eq_Ord_Div_Meth&lt;&gt;2),0,Fcast_TA!M96)</f>
        <v>0</v>
      </c>
      <c r="N153" s="123">
        <f>IF(OR(N144&lt;&gt;"Yes",DD_Eq_Ord_Div_Meth&lt;&gt;2),0,Fcast_TA!N96)</f>
        <v>0</v>
      </c>
      <c r="O153" s="123">
        <f>IF(OR(O144&lt;&gt;"Yes",DD_Eq_Ord_Div_Meth&lt;&gt;2),0,Fcast_TA!O96)</f>
        <v>0</v>
      </c>
      <c r="P153" s="123">
        <f>IF(OR(P144&lt;&gt;"Yes",DD_Eq_Ord_Div_Meth&lt;&gt;2),0,Fcast_TA!P96)</f>
        <v>0</v>
      </c>
      <c r="Q153" s="123">
        <f>IF(OR(Q144&lt;&gt;"Yes",DD_Eq_Ord_Div_Meth&lt;&gt;2),0,Fcast_TA!Q96)</f>
        <v>0</v>
      </c>
    </row>
    <row r="154" spans="2:17">
      <c r="E154" s="107" t="s">
        <v>283</v>
      </c>
      <c r="J154" s="145">
        <f t="shared" ref="J154:Q154" si="60">IF(J144&lt;&gt;"Yes",0,IF(DD_Eq_Ord_Div_Meth=1,J152*IF(CB_Eq_Ord_Inc_Open_RP_In_NPAT,J148,J147),J153))</f>
        <v>0</v>
      </c>
      <c r="K154" s="145">
        <f t="shared" si="60"/>
        <v>0</v>
      </c>
      <c r="L154" s="145">
        <f t="shared" si="60"/>
        <v>0</v>
      </c>
      <c r="M154" s="145">
        <f t="shared" ca="1" si="60"/>
        <v>16.153325097656253</v>
      </c>
      <c r="N154" s="145">
        <f t="shared" ca="1" si="60"/>
        <v>16.528720725097664</v>
      </c>
      <c r="O154" s="145">
        <f t="shared" ca="1" si="60"/>
        <v>16.914923118225101</v>
      </c>
      <c r="P154" s="145">
        <f t="shared" ca="1" si="60"/>
        <v>17.369077446180725</v>
      </c>
      <c r="Q154" s="145">
        <f t="shared" ca="1" si="60"/>
        <v>17.834585632335237</v>
      </c>
    </row>
    <row r="155" spans="2:17">
      <c r="E155" s="108" t="s">
        <v>284</v>
      </c>
      <c r="J155" s="97">
        <f t="shared" ref="J155:Q155" si="61">IF(CB_Eq_Ord_Cash_Limit_Div,MAX(0,MIN(J148,J151,J154)),MAX(0,MIN(J148,J154)))</f>
        <v>0</v>
      </c>
      <c r="K155" s="97">
        <f t="shared" si="61"/>
        <v>0</v>
      </c>
      <c r="L155" s="97">
        <f t="shared" si="61"/>
        <v>0</v>
      </c>
      <c r="M155" s="97">
        <f t="shared" ca="1" si="61"/>
        <v>16.153325097656253</v>
      </c>
      <c r="N155" s="97">
        <f t="shared" ca="1" si="61"/>
        <v>16.528720725097664</v>
      </c>
      <c r="O155" s="97">
        <f t="shared" ca="1" si="61"/>
        <v>16.914923118225101</v>
      </c>
      <c r="P155" s="97">
        <f t="shared" ca="1" si="61"/>
        <v>17.369077446180725</v>
      </c>
      <c r="Q155" s="97">
        <f t="shared" ca="1" si="61"/>
        <v>17.834585632335237</v>
      </c>
    </row>
    <row r="158" spans="2:17" ht="12.75">
      <c r="B158" s="119" t="s">
        <v>417</v>
      </c>
    </row>
    <row r="160" spans="2:17" s="15" customFormat="1" ht="12.75">
      <c r="B160" s="119"/>
      <c r="C160" s="125" t="str">
        <f>"Tax Expense ("&amp;INDEX(LU_Denom,DD_TS_Denom)&amp;")"</f>
        <v>Tax Expense ($Millions)</v>
      </c>
    </row>
    <row r="162" spans="3:17">
      <c r="D162" s="5" t="str">
        <f>C18</f>
        <v>Revenue</v>
      </c>
      <c r="J162" s="94">
        <f t="shared" ref="J162:Q162" si="62">J18</f>
        <v>0</v>
      </c>
      <c r="K162" s="94">
        <f t="shared" si="62"/>
        <v>0</v>
      </c>
      <c r="L162" s="94">
        <f t="shared" si="62"/>
        <v>0</v>
      </c>
      <c r="M162" s="94">
        <f t="shared" si="62"/>
        <v>134.611328125</v>
      </c>
      <c r="N162" s="94">
        <f t="shared" si="62"/>
        <v>137.97661132812499</v>
      </c>
      <c r="O162" s="94">
        <f t="shared" si="62"/>
        <v>141.4260266113281</v>
      </c>
      <c r="P162" s="94">
        <f t="shared" si="62"/>
        <v>144.96167727661128</v>
      </c>
      <c r="Q162" s="94">
        <f t="shared" si="62"/>
        <v>148.58571920852654</v>
      </c>
    </row>
    <row r="163" spans="3:17" s="15" customFormat="1">
      <c r="D163" s="5" t="str">
        <f>C19</f>
        <v>Cost of Goods Sold</v>
      </c>
      <c r="J163" s="94">
        <f t="shared" ref="J163:Q164" si="63">-J19</f>
        <v>0</v>
      </c>
      <c r="K163" s="94">
        <f t="shared" si="63"/>
        <v>0</v>
      </c>
      <c r="L163" s="94">
        <f t="shared" si="63"/>
        <v>0</v>
      </c>
      <c r="M163" s="94">
        <f t="shared" si="63"/>
        <v>-26.922265624999991</v>
      </c>
      <c r="N163" s="94">
        <f t="shared" si="63"/>
        <v>-27.59532226562499</v>
      </c>
      <c r="O163" s="94">
        <f t="shared" si="63"/>
        <v>-28.285205322265611</v>
      </c>
      <c r="P163" s="94">
        <f t="shared" si="63"/>
        <v>-28.992335455322248</v>
      </c>
      <c r="Q163" s="94">
        <f t="shared" si="63"/>
        <v>-29.717143841705301</v>
      </c>
    </row>
    <row r="164" spans="3:17" s="15" customFormat="1">
      <c r="D164" s="5" t="str">
        <f>C20</f>
        <v>Operating Expenditure</v>
      </c>
      <c r="J164" s="94">
        <f t="shared" si="63"/>
        <v>0</v>
      </c>
      <c r="K164" s="94">
        <f t="shared" si="63"/>
        <v>0</v>
      </c>
      <c r="L164" s="94">
        <f t="shared" si="63"/>
        <v>0</v>
      </c>
      <c r="M164" s="94">
        <f t="shared" si="63"/>
        <v>-43.075624999999995</v>
      </c>
      <c r="N164" s="94">
        <f t="shared" si="63"/>
        <v>-44.152515624999992</v>
      </c>
      <c r="O164" s="94">
        <f t="shared" si="63"/>
        <v>-45.256328515624986</v>
      </c>
      <c r="P164" s="94">
        <f t="shared" si="63"/>
        <v>-46.387736728515605</v>
      </c>
      <c r="Q164" s="94">
        <f t="shared" si="63"/>
        <v>-47.547430146728495</v>
      </c>
    </row>
    <row r="165" spans="3:17">
      <c r="D165" s="5" t="str">
        <f>D69</f>
        <v>Depreciation</v>
      </c>
      <c r="J165" s="94">
        <f t="shared" ref="J165:Q165" si="64">J69</f>
        <v>0</v>
      </c>
      <c r="K165" s="94">
        <f t="shared" si="64"/>
        <v>0</v>
      </c>
      <c r="L165" s="94">
        <f t="shared" si="64"/>
        <v>0</v>
      </c>
      <c r="M165" s="94">
        <f t="shared" si="64"/>
        <v>-14.538023437499994</v>
      </c>
      <c r="N165" s="94">
        <f t="shared" si="64"/>
        <v>-14.901474023437492</v>
      </c>
      <c r="O165" s="94">
        <f t="shared" si="64"/>
        <v>-15.274010874023428</v>
      </c>
      <c r="P165" s="94">
        <f t="shared" si="64"/>
        <v>-15.655861145874013</v>
      </c>
      <c r="Q165" s="94">
        <f t="shared" si="64"/>
        <v>-16.047257674520861</v>
      </c>
    </row>
    <row r="166" spans="3:17" s="15" customFormat="1">
      <c r="D166" s="5" t="str">
        <f>D81</f>
        <v>Amortization</v>
      </c>
      <c r="J166" s="94">
        <f t="shared" ref="J166:Q166" si="65">J81</f>
        <v>0</v>
      </c>
      <c r="K166" s="94">
        <f t="shared" si="65"/>
        <v>0</v>
      </c>
      <c r="L166" s="94">
        <f t="shared" si="65"/>
        <v>0</v>
      </c>
      <c r="M166" s="94">
        <f t="shared" si="65"/>
        <v>-0.67305664062499992</v>
      </c>
      <c r="N166" s="94">
        <f t="shared" si="65"/>
        <v>-0.68988305664062488</v>
      </c>
      <c r="O166" s="94">
        <f t="shared" si="65"/>
        <v>-0.70713013305664041</v>
      </c>
      <c r="P166" s="94">
        <f t="shared" si="65"/>
        <v>-0.72480838638305634</v>
      </c>
      <c r="Q166" s="94">
        <f t="shared" si="65"/>
        <v>-0.74292859604263273</v>
      </c>
    </row>
    <row r="167" spans="3:17">
      <c r="D167" s="5" t="str">
        <f>E110</f>
        <v>Interest Expense</v>
      </c>
      <c r="E167" s="5"/>
      <c r="J167" s="94">
        <f t="shared" ref="J167:Q167" si="66">-J110</f>
        <v>0</v>
      </c>
      <c r="K167" s="94">
        <f t="shared" si="66"/>
        <v>0</v>
      </c>
      <c r="L167" s="94">
        <f t="shared" si="66"/>
        <v>0</v>
      </c>
      <c r="M167" s="94">
        <f t="shared" ca="1" si="66"/>
        <v>-3.25</v>
      </c>
      <c r="N167" s="94">
        <f t="shared" ca="1" si="66"/>
        <v>-3.4125000000000001</v>
      </c>
      <c r="O167" s="94">
        <f t="shared" ca="1" si="66"/>
        <v>-3.5750000000000002</v>
      </c>
      <c r="P167" s="94">
        <f t="shared" ca="1" si="66"/>
        <v>-3.5750000000000002</v>
      </c>
      <c r="Q167" s="94">
        <f t="shared" ca="1" si="66"/>
        <v>-3.5750000000000002</v>
      </c>
    </row>
    <row r="168" spans="3:17">
      <c r="D168" s="108" t="s">
        <v>5</v>
      </c>
      <c r="J168" s="127">
        <f t="shared" ref="J168:Q168" si="67">SUM(J162:J167)</f>
        <v>0</v>
      </c>
      <c r="K168" s="127">
        <f t="shared" si="67"/>
        <v>0</v>
      </c>
      <c r="L168" s="127">
        <f t="shared" si="67"/>
        <v>0</v>
      </c>
      <c r="M168" s="127">
        <f t="shared" ca="1" si="67"/>
        <v>46.15235742187501</v>
      </c>
      <c r="N168" s="127">
        <f t="shared" ca="1" si="67"/>
        <v>47.22491635742189</v>
      </c>
      <c r="O168" s="127">
        <f t="shared" ca="1" si="67"/>
        <v>48.328351766357429</v>
      </c>
      <c r="P168" s="127">
        <f t="shared" ca="1" si="67"/>
        <v>49.625935560516361</v>
      </c>
      <c r="Q168" s="127">
        <f t="shared" ca="1" si="67"/>
        <v>50.955958949529247</v>
      </c>
    </row>
    <row r="169" spans="3:17">
      <c r="J169" s="94"/>
      <c r="K169" s="94"/>
      <c r="L169" s="94"/>
      <c r="M169" s="94"/>
      <c r="N169" s="94"/>
      <c r="O169" s="94"/>
      <c r="P169" s="94"/>
      <c r="Q169" s="94"/>
    </row>
    <row r="170" spans="3:17">
      <c r="D170" s="108" t="s">
        <v>6</v>
      </c>
      <c r="J170" s="140">
        <f t="shared" ref="J170:Q170" si="68">J168</f>
        <v>0</v>
      </c>
      <c r="K170" s="140">
        <f t="shared" si="68"/>
        <v>0</v>
      </c>
      <c r="L170" s="140">
        <f t="shared" si="68"/>
        <v>0</v>
      </c>
      <c r="M170" s="140">
        <f t="shared" ca="1" si="68"/>
        <v>46.15235742187501</v>
      </c>
      <c r="N170" s="140">
        <f t="shared" ca="1" si="68"/>
        <v>47.22491635742189</v>
      </c>
      <c r="O170" s="140">
        <f t="shared" ca="1" si="68"/>
        <v>48.328351766357429</v>
      </c>
      <c r="P170" s="140">
        <f t="shared" ca="1" si="68"/>
        <v>49.625935560516361</v>
      </c>
      <c r="Q170" s="140">
        <f t="shared" ca="1" si="68"/>
        <v>50.955958949529247</v>
      </c>
    </row>
    <row r="172" spans="3:17">
      <c r="D172" s="5" t="str">
        <f>Fcast_TA!D114</f>
        <v>Corporate Taxation Rate</v>
      </c>
      <c r="J172" s="118">
        <f>IF(J$12=0,0,Fcast_TA!$I$114)</f>
        <v>0</v>
      </c>
      <c r="K172" s="118">
        <f>IF(K$12=0,0,Fcast_TA!$I$114)</f>
        <v>0</v>
      </c>
      <c r="L172" s="118">
        <f>IF(L$12=0,0,Fcast_TA!$I$114)</f>
        <v>0</v>
      </c>
      <c r="M172" s="118">
        <f>IF(M$12=0,0,Fcast_TA!$I$114)</f>
        <v>0.3</v>
      </c>
      <c r="N172" s="118">
        <f>IF(N$12=0,0,Fcast_TA!$I$114)</f>
        <v>0.3</v>
      </c>
      <c r="O172" s="118">
        <f>IF(O$12=0,0,Fcast_TA!$I$114)</f>
        <v>0.3</v>
      </c>
      <c r="P172" s="118">
        <f>IF(P$12=0,0,Fcast_TA!$I$114)</f>
        <v>0.3</v>
      </c>
      <c r="Q172" s="118">
        <f>IF(Q$12=0,0,Fcast_TA!$I$114)</f>
        <v>0.3</v>
      </c>
    </row>
    <row r="174" spans="3:17" ht="11.25" thickBot="1">
      <c r="D174" s="108" t="s">
        <v>7</v>
      </c>
      <c r="J174" s="139">
        <f t="shared" ref="J174:Q174" si="69">J170*J172</f>
        <v>0</v>
      </c>
      <c r="K174" s="139">
        <f t="shared" si="69"/>
        <v>0</v>
      </c>
      <c r="L174" s="139">
        <f t="shared" si="69"/>
        <v>0</v>
      </c>
      <c r="M174" s="139">
        <f t="shared" ca="1" si="69"/>
        <v>13.845707226562503</v>
      </c>
      <c r="N174" s="139">
        <f t="shared" ca="1" si="69"/>
        <v>14.167474907226566</v>
      </c>
      <c r="O174" s="139">
        <f t="shared" ca="1" si="69"/>
        <v>14.498505529907227</v>
      </c>
      <c r="P174" s="139">
        <f t="shared" ca="1" si="69"/>
        <v>14.887780668154907</v>
      </c>
      <c r="Q174" s="139">
        <f t="shared" ca="1" si="69"/>
        <v>15.286787684858773</v>
      </c>
    </row>
    <row r="175" spans="3:17" ht="11.25" thickTop="1"/>
    <row r="176" spans="3:17" ht="11.25">
      <c r="C176" s="93" t="s">
        <v>489</v>
      </c>
    </row>
    <row r="178" spans="2:17">
      <c r="D178" s="167" t="s">
        <v>245</v>
      </c>
      <c r="J178" s="94">
        <f>IF(J$12=0,0,IF(J$12=TS_Data_Full_Pers+1,Fcast_TA!$I$110,I181))</f>
        <v>0</v>
      </c>
      <c r="K178" s="94">
        <f>IF(K$12=0,0,IF(K$12=TS_Data_Full_Pers+1,Fcast_TA!$I$110,J181))</f>
        <v>0</v>
      </c>
      <c r="L178" s="94">
        <f>IF(L$12=0,0,IF(L$12=TS_Data_Full_Pers+1,Fcast_TA!$I$110,K181))</f>
        <v>0</v>
      </c>
      <c r="M178" s="94">
        <f ca="1">IF(M$12=0,0,IF(M$12=TS_Data_Full_Pers+1,Fcast_TA!$I$110,L181))</f>
        <v>13.484226562500004</v>
      </c>
      <c r="N178" s="94">
        <f ca="1">IF(N$12=0,0,IF(N$12=TS_Data_Full_Pers+1,Fcast_TA!$I$110,M181))</f>
        <v>13.845707226562505</v>
      </c>
      <c r="O178" s="94">
        <f ca="1">IF(O$12=0,0,IF(O$12=TS_Data_Full_Pers+1,Fcast_TA!$I$110,N181))</f>
        <v>14.16747490722657</v>
      </c>
      <c r="P178" s="94">
        <f ca="1">IF(P$12=0,0,IF(P$12=TS_Data_Full_Pers+1,Fcast_TA!$I$110,O181))</f>
        <v>14.498505529907231</v>
      </c>
      <c r="Q178" s="94">
        <f ca="1">IF(Q$12=0,0,IF(Q$12=TS_Data_Full_Pers+1,Fcast_TA!$I$110,P181))</f>
        <v>14.88778066815491</v>
      </c>
    </row>
    <row r="179" spans="2:17">
      <c r="D179" s="5" t="str">
        <f>D174</f>
        <v>Tax Expense / (Benefit)</v>
      </c>
      <c r="J179" s="94">
        <f t="shared" ref="J179:Q179" si="70">J174</f>
        <v>0</v>
      </c>
      <c r="K179" s="94">
        <f t="shared" si="70"/>
        <v>0</v>
      </c>
      <c r="L179" s="94">
        <f t="shared" si="70"/>
        <v>0</v>
      </c>
      <c r="M179" s="94">
        <f t="shared" ca="1" si="70"/>
        <v>13.845707226562503</v>
      </c>
      <c r="N179" s="94">
        <f t="shared" ca="1" si="70"/>
        <v>14.167474907226566</v>
      </c>
      <c r="O179" s="94">
        <f t="shared" ca="1" si="70"/>
        <v>14.498505529907227</v>
      </c>
      <c r="P179" s="94">
        <f t="shared" ca="1" si="70"/>
        <v>14.887780668154907</v>
      </c>
      <c r="Q179" s="94">
        <f t="shared" ca="1" si="70"/>
        <v>15.286787684858773</v>
      </c>
    </row>
    <row r="180" spans="2:17">
      <c r="D180" s="167" t="s">
        <v>476</v>
      </c>
      <c r="J180" s="96">
        <f t="shared" ref="J180:Q180" si="71">IF(J$12=TS_Data_Full_Pers+1,-J178,-I179)</f>
        <v>0</v>
      </c>
      <c r="K180" s="96">
        <f t="shared" si="71"/>
        <v>0</v>
      </c>
      <c r="L180" s="96">
        <f t="shared" si="71"/>
        <v>0</v>
      </c>
      <c r="M180" s="96">
        <f t="shared" ca="1" si="71"/>
        <v>-13.484226562500004</v>
      </c>
      <c r="N180" s="96">
        <f t="shared" ca="1" si="71"/>
        <v>-13.845707226562503</v>
      </c>
      <c r="O180" s="96">
        <f t="shared" ca="1" si="71"/>
        <v>-14.167474907226566</v>
      </c>
      <c r="P180" s="96">
        <f t="shared" ca="1" si="71"/>
        <v>-14.498505529907227</v>
      </c>
      <c r="Q180" s="96">
        <f t="shared" ca="1" si="71"/>
        <v>-14.887780668154907</v>
      </c>
    </row>
    <row r="181" spans="2:17">
      <c r="D181" s="168" t="s">
        <v>409</v>
      </c>
      <c r="J181" s="97">
        <f t="shared" ref="J181:Q181" si="72">SUM(J178:J180)</f>
        <v>0</v>
      </c>
      <c r="K181" s="97">
        <f t="shared" si="72"/>
        <v>0</v>
      </c>
      <c r="L181" s="97">
        <f t="shared" si="72"/>
        <v>0</v>
      </c>
      <c r="M181" s="97">
        <f t="shared" ca="1" si="72"/>
        <v>13.845707226562505</v>
      </c>
      <c r="N181" s="97">
        <f t="shared" ca="1" si="72"/>
        <v>14.16747490722657</v>
      </c>
      <c r="O181" s="97">
        <f t="shared" ca="1" si="72"/>
        <v>14.498505529907231</v>
      </c>
      <c r="P181" s="97">
        <f t="shared" ca="1" si="72"/>
        <v>14.88778066815491</v>
      </c>
      <c r="Q181" s="97">
        <f t="shared" ca="1" si="72"/>
        <v>15.286787684858776</v>
      </c>
    </row>
    <row r="184" spans="2:17" ht="12.75">
      <c r="B184" s="119" t="s">
        <v>490</v>
      </c>
    </row>
    <row r="186" spans="2:17" ht="11.25">
      <c r="C186" s="125" t="str">
        <f>Fcast_TA!D135&amp;" ("&amp;INDEX(LU_Denom,DD_TS_Denom)&amp;")"</f>
        <v>Other Current Assets ($Millions)</v>
      </c>
    </row>
    <row r="188" spans="2:17">
      <c r="D188" s="167" t="s">
        <v>245</v>
      </c>
      <c r="J188" s="94">
        <f>IF(J$12=0,0,IF(J$12=TS_Data_Full_Pers+1,Fcast_TA!$I$135,I190))</f>
        <v>0</v>
      </c>
      <c r="K188" s="94">
        <f>IF(K$12=0,0,IF(K$12=TS_Data_Full_Pers+1,Fcast_TA!$I$135,J190))</f>
        <v>0</v>
      </c>
      <c r="L188" s="94">
        <f>IF(L$12=0,0,IF(L$12=TS_Data_Full_Pers+1,Fcast_TA!$I$135,K190))</f>
        <v>0</v>
      </c>
      <c r="M188" s="94">
        <f ca="1">IF(M$12=0,0,IF(M$12=TS_Data_Full_Pers+1,Fcast_TA!$I$135,L190))</f>
        <v>5</v>
      </c>
      <c r="N188" s="94">
        <f>IF(N$12=0,0,IF(N$12=TS_Data_Full_Pers+1,Fcast_TA!$I$135,M190))</f>
        <v>6</v>
      </c>
      <c r="O188" s="94">
        <f>IF(O$12=0,0,IF(O$12=TS_Data_Full_Pers+1,Fcast_TA!$I$135,N190))</f>
        <v>7</v>
      </c>
      <c r="P188" s="94">
        <f>IF(P$12=0,0,IF(P$12=TS_Data_Full_Pers+1,Fcast_TA!$I$135,O190))</f>
        <v>8</v>
      </c>
      <c r="Q188" s="94">
        <f>IF(Q$12=0,0,IF(Q$12=TS_Data_Full_Pers+1,Fcast_TA!$I$135,P190))</f>
        <v>9</v>
      </c>
    </row>
    <row r="189" spans="2:17">
      <c r="D189" s="167" t="s">
        <v>491</v>
      </c>
      <c r="J189" s="96">
        <f>J190-J188</f>
        <v>0</v>
      </c>
      <c r="K189" s="96">
        <f t="shared" ref="K189:Q189" si="73">K190-K188</f>
        <v>0</v>
      </c>
      <c r="L189" s="96">
        <f t="shared" si="73"/>
        <v>0</v>
      </c>
      <c r="M189" s="96">
        <f t="shared" ca="1" si="73"/>
        <v>1</v>
      </c>
      <c r="N189" s="96">
        <f t="shared" si="73"/>
        <v>1</v>
      </c>
      <c r="O189" s="96">
        <f t="shared" si="73"/>
        <v>1</v>
      </c>
      <c r="P189" s="96">
        <f t="shared" si="73"/>
        <v>1</v>
      </c>
      <c r="Q189" s="96">
        <f t="shared" si="73"/>
        <v>1</v>
      </c>
    </row>
    <row r="190" spans="2:17">
      <c r="D190" s="168" t="s">
        <v>409</v>
      </c>
      <c r="J190" s="97">
        <f>IF(J$12=0,0,Fcast_TA!J135)</f>
        <v>0</v>
      </c>
      <c r="K190" s="97">
        <f>IF(K$12=0,0,Fcast_TA!K135)</f>
        <v>0</v>
      </c>
      <c r="L190" s="97">
        <f>IF(L$12=0,0,Fcast_TA!L135)</f>
        <v>0</v>
      </c>
      <c r="M190" s="97">
        <f>IF(M$12=0,0,Fcast_TA!M135)</f>
        <v>6</v>
      </c>
      <c r="N190" s="97">
        <f>IF(N$12=0,0,Fcast_TA!N135)</f>
        <v>7</v>
      </c>
      <c r="O190" s="97">
        <f>IF(O$12=0,0,Fcast_TA!O135)</f>
        <v>8</v>
      </c>
      <c r="P190" s="97">
        <f>IF(P$12=0,0,Fcast_TA!P135)</f>
        <v>9</v>
      </c>
      <c r="Q190" s="97">
        <f>IF(Q$12=0,0,Fcast_TA!Q135)</f>
        <v>10</v>
      </c>
    </row>
    <row r="191" spans="2:17">
      <c r="K191" s="15"/>
      <c r="L191" s="15"/>
      <c r="M191" s="15"/>
      <c r="N191" s="15"/>
      <c r="O191" s="15"/>
      <c r="P191" s="15"/>
      <c r="Q191" s="15"/>
    </row>
    <row r="192" spans="2:17" s="15" customFormat="1" ht="11.25">
      <c r="C192" s="125" t="str">
        <f>Fcast_TA!D136&amp;" ("&amp;INDEX(LU_Denom,DD_TS_Denom)&amp;")"</f>
        <v>Other Non-Current Assets ($Millions)</v>
      </c>
    </row>
    <row r="193" spans="3:17" s="15" customFormat="1"/>
    <row r="194" spans="3:17" s="15" customFormat="1">
      <c r="D194" s="167" t="s">
        <v>245</v>
      </c>
      <c r="J194" s="94">
        <f>IF(J$12=0,0,IF(J$12=TS_Data_Full_Pers+1,Fcast_TA!$I$136,I196))</f>
        <v>0</v>
      </c>
      <c r="K194" s="94">
        <f>IF(K$12=0,0,IF(K$12=TS_Data_Full_Pers+1,Fcast_TA!$I$136,J196))</f>
        <v>0</v>
      </c>
      <c r="L194" s="94">
        <f>IF(L$12=0,0,IF(L$12=TS_Data_Full_Pers+1,Fcast_TA!$I$136,K196))</f>
        <v>0</v>
      </c>
      <c r="M194" s="94">
        <f ca="1">IF(M$12=0,0,IF(M$12=TS_Data_Full_Pers+1,Fcast_TA!$I$136,L196))</f>
        <v>6</v>
      </c>
      <c r="N194" s="94">
        <f>IF(N$12=0,0,IF(N$12=TS_Data_Full_Pers+1,Fcast_TA!$I$136,M196))</f>
        <v>7</v>
      </c>
      <c r="O194" s="94">
        <f>IF(O$12=0,0,IF(O$12=TS_Data_Full_Pers+1,Fcast_TA!$I$136,N196))</f>
        <v>8</v>
      </c>
      <c r="P194" s="94">
        <f>IF(P$12=0,0,IF(P$12=TS_Data_Full_Pers+1,Fcast_TA!$I$136,O196))</f>
        <v>9</v>
      </c>
      <c r="Q194" s="94">
        <f>IF(Q$12=0,0,IF(Q$12=TS_Data_Full_Pers+1,Fcast_TA!$I$136,P196))</f>
        <v>10</v>
      </c>
    </row>
    <row r="195" spans="3:17" s="15" customFormat="1">
      <c r="D195" s="167" t="s">
        <v>491</v>
      </c>
      <c r="J195" s="96">
        <f>J196-J194</f>
        <v>0</v>
      </c>
      <c r="K195" s="96">
        <f t="shared" ref="K195:Q195" si="74">K196-K194</f>
        <v>0</v>
      </c>
      <c r="L195" s="96">
        <f t="shared" si="74"/>
        <v>0</v>
      </c>
      <c r="M195" s="96">
        <f t="shared" ca="1" si="74"/>
        <v>1</v>
      </c>
      <c r="N195" s="96">
        <f t="shared" si="74"/>
        <v>1</v>
      </c>
      <c r="O195" s="96">
        <f t="shared" si="74"/>
        <v>1</v>
      </c>
      <c r="P195" s="96">
        <f t="shared" si="74"/>
        <v>1</v>
      </c>
      <c r="Q195" s="96">
        <f t="shared" si="74"/>
        <v>1</v>
      </c>
    </row>
    <row r="196" spans="3:17" s="15" customFormat="1">
      <c r="D196" s="168" t="s">
        <v>409</v>
      </c>
      <c r="J196" s="97">
        <f>IF(J$12=0,0,Fcast_TA!J136)</f>
        <v>0</v>
      </c>
      <c r="K196" s="97">
        <f>IF(K$12=0,0,Fcast_TA!K136)</f>
        <v>0</v>
      </c>
      <c r="L196" s="97">
        <f>IF(L$12=0,0,Fcast_TA!L136)</f>
        <v>0</v>
      </c>
      <c r="M196" s="97">
        <f>IF(M$12=0,0,Fcast_TA!M136)</f>
        <v>7</v>
      </c>
      <c r="N196" s="97">
        <f>IF(N$12=0,0,Fcast_TA!N136)</f>
        <v>8</v>
      </c>
      <c r="O196" s="97">
        <f>IF(O$12=0,0,Fcast_TA!O136)</f>
        <v>9</v>
      </c>
      <c r="P196" s="97">
        <f>IF(P$12=0,0,Fcast_TA!P136)</f>
        <v>10</v>
      </c>
      <c r="Q196" s="97">
        <f>IF(Q$12=0,0,Fcast_TA!Q136)</f>
        <v>11</v>
      </c>
    </row>
    <row r="197" spans="3:17">
      <c r="K197" s="15"/>
      <c r="L197" s="15"/>
      <c r="M197" s="15"/>
      <c r="N197" s="15"/>
      <c r="O197" s="15"/>
      <c r="P197" s="15"/>
      <c r="Q197" s="15"/>
    </row>
    <row r="198" spans="3:17" s="15" customFormat="1" ht="11.25">
      <c r="C198" s="125" t="str">
        <f>Fcast_TA!D137&amp;" ("&amp;INDEX(LU_Denom,DD_TS_Denom)&amp;")"</f>
        <v>Other Current Liabilities ($Millions)</v>
      </c>
    </row>
    <row r="199" spans="3:17" s="15" customFormat="1"/>
    <row r="200" spans="3:17" s="15" customFormat="1">
      <c r="D200" s="167" t="s">
        <v>245</v>
      </c>
      <c r="J200" s="94">
        <f>IF(J$12=0,0,IF(J$12=TS_Data_Full_Pers+1,Fcast_TA!$I$137,I202))</f>
        <v>0</v>
      </c>
      <c r="K200" s="94">
        <f>IF(K$12=0,0,IF(K$12=TS_Data_Full_Pers+1,Fcast_TA!$I$137,J202))</f>
        <v>0</v>
      </c>
      <c r="L200" s="94">
        <f>IF(L$12=0,0,IF(L$12=TS_Data_Full_Pers+1,Fcast_TA!$I$137,K202))</f>
        <v>0</v>
      </c>
      <c r="M200" s="94">
        <f ca="1">IF(M$12=0,0,IF(M$12=TS_Data_Full_Pers+1,Fcast_TA!$I$137,L202))</f>
        <v>7</v>
      </c>
      <c r="N200" s="94">
        <f>IF(N$12=0,0,IF(N$12=TS_Data_Full_Pers+1,Fcast_TA!$I$137,M202))</f>
        <v>8</v>
      </c>
      <c r="O200" s="94">
        <f>IF(O$12=0,0,IF(O$12=TS_Data_Full_Pers+1,Fcast_TA!$I$137,N202))</f>
        <v>9</v>
      </c>
      <c r="P200" s="94">
        <f>IF(P$12=0,0,IF(P$12=TS_Data_Full_Pers+1,Fcast_TA!$I$137,O202))</f>
        <v>10</v>
      </c>
      <c r="Q200" s="94">
        <f>IF(Q$12=0,0,IF(Q$12=TS_Data_Full_Pers+1,Fcast_TA!$I$137,P202))</f>
        <v>11</v>
      </c>
    </row>
    <row r="201" spans="3:17" s="15" customFormat="1">
      <c r="D201" s="167" t="s">
        <v>491</v>
      </c>
      <c r="J201" s="96">
        <f>J202-J200</f>
        <v>0</v>
      </c>
      <c r="K201" s="96">
        <f t="shared" ref="K201:Q201" si="75">K202-K200</f>
        <v>0</v>
      </c>
      <c r="L201" s="96">
        <f t="shared" si="75"/>
        <v>0</v>
      </c>
      <c r="M201" s="96">
        <f t="shared" ca="1" si="75"/>
        <v>1</v>
      </c>
      <c r="N201" s="96">
        <f t="shared" si="75"/>
        <v>1</v>
      </c>
      <c r="O201" s="96">
        <f t="shared" si="75"/>
        <v>1</v>
      </c>
      <c r="P201" s="96">
        <f t="shared" si="75"/>
        <v>1</v>
      </c>
      <c r="Q201" s="96">
        <f t="shared" si="75"/>
        <v>1</v>
      </c>
    </row>
    <row r="202" spans="3:17" s="15" customFormat="1">
      <c r="D202" s="168" t="s">
        <v>409</v>
      </c>
      <c r="J202" s="97">
        <f>IF(J$12=0,0,Fcast_TA!J137)</f>
        <v>0</v>
      </c>
      <c r="K202" s="97">
        <f>IF(K$12=0,0,Fcast_TA!K137)</f>
        <v>0</v>
      </c>
      <c r="L202" s="97">
        <f>IF(L$12=0,0,Fcast_TA!L137)</f>
        <v>0</v>
      </c>
      <c r="M202" s="97">
        <f>IF(M$12=0,0,Fcast_TA!M137)</f>
        <v>8</v>
      </c>
      <c r="N202" s="97">
        <f>IF(N$12=0,0,Fcast_TA!N137)</f>
        <v>9</v>
      </c>
      <c r="O202" s="97">
        <f>IF(O$12=0,0,Fcast_TA!O137)</f>
        <v>10</v>
      </c>
      <c r="P202" s="97">
        <f>IF(P$12=0,0,Fcast_TA!P137)</f>
        <v>11</v>
      </c>
      <c r="Q202" s="97">
        <f>IF(Q$12=0,0,Fcast_TA!Q137)</f>
        <v>12</v>
      </c>
    </row>
    <row r="203" spans="3:17">
      <c r="K203" s="15"/>
      <c r="L203" s="15"/>
      <c r="M203" s="15"/>
      <c r="N203" s="15"/>
      <c r="O203" s="15"/>
      <c r="P203" s="15"/>
      <c r="Q203" s="15"/>
    </row>
    <row r="204" spans="3:17" s="15" customFormat="1" ht="11.25">
      <c r="C204" s="125" t="str">
        <f>Fcast_TA!D138&amp;" ("&amp;INDEX(LU_Denom,DD_TS_Denom)&amp;")"</f>
        <v>Other Non-Current Liabilities ($Millions)</v>
      </c>
    </row>
    <row r="205" spans="3:17" s="15" customFormat="1"/>
    <row r="206" spans="3:17" s="15" customFormat="1">
      <c r="D206" s="167" t="s">
        <v>245</v>
      </c>
      <c r="J206" s="94">
        <f>IF(J$12=0,0,IF(J$12=TS_Data_Full_Pers+1,Fcast_TA!$I$138,I208))</f>
        <v>0</v>
      </c>
      <c r="K206" s="94">
        <f>IF(K$12=0,0,IF(K$12=TS_Data_Full_Pers+1,Fcast_TA!$I$138,J208))</f>
        <v>0</v>
      </c>
      <c r="L206" s="94">
        <f>IF(L$12=0,0,IF(L$12=TS_Data_Full_Pers+1,Fcast_TA!$I$138,K208))</f>
        <v>0</v>
      </c>
      <c r="M206" s="94">
        <f ca="1">IF(M$12=0,0,IF(M$12=TS_Data_Full_Pers+1,Fcast_TA!$I$138,L208))</f>
        <v>8</v>
      </c>
      <c r="N206" s="94">
        <f>IF(N$12=0,0,IF(N$12=TS_Data_Full_Pers+1,Fcast_TA!$I$138,M208))</f>
        <v>9</v>
      </c>
      <c r="O206" s="94">
        <f>IF(O$12=0,0,IF(O$12=TS_Data_Full_Pers+1,Fcast_TA!$I$138,N208))</f>
        <v>10</v>
      </c>
      <c r="P206" s="94">
        <f>IF(P$12=0,0,IF(P$12=TS_Data_Full_Pers+1,Fcast_TA!$I$138,O208))</f>
        <v>11</v>
      </c>
      <c r="Q206" s="94">
        <f>IF(Q$12=0,0,IF(Q$12=TS_Data_Full_Pers+1,Fcast_TA!$I$138,P208))</f>
        <v>12</v>
      </c>
    </row>
    <row r="207" spans="3:17" s="15" customFormat="1">
      <c r="D207" s="167" t="s">
        <v>491</v>
      </c>
      <c r="J207" s="96">
        <f>IF(J$12=0,0,J208-J206)</f>
        <v>0</v>
      </c>
      <c r="K207" s="96">
        <f t="shared" ref="K207:Q207" si="76">IF(K$12=0,0,K208-K206)</f>
        <v>0</v>
      </c>
      <c r="L207" s="96">
        <f t="shared" si="76"/>
        <v>0</v>
      </c>
      <c r="M207" s="96">
        <f t="shared" ca="1" si="76"/>
        <v>1</v>
      </c>
      <c r="N207" s="96">
        <f t="shared" si="76"/>
        <v>1</v>
      </c>
      <c r="O207" s="96">
        <f t="shared" si="76"/>
        <v>1</v>
      </c>
      <c r="P207" s="96">
        <f t="shared" si="76"/>
        <v>1</v>
      </c>
      <c r="Q207" s="96">
        <f t="shared" si="76"/>
        <v>1</v>
      </c>
    </row>
    <row r="208" spans="3:17" s="15" customFormat="1">
      <c r="D208" s="168" t="s">
        <v>409</v>
      </c>
      <c r="J208" s="97">
        <f>IF(J$12=0,0,Fcast_TA!J138)</f>
        <v>0</v>
      </c>
      <c r="K208" s="97">
        <f>IF(K$12=0,0,Fcast_TA!K138)</f>
        <v>0</v>
      </c>
      <c r="L208" s="97">
        <f>IF(L$12=0,0,Fcast_TA!L138)</f>
        <v>0</v>
      </c>
      <c r="M208" s="97">
        <f>IF(M$12=0,0,Fcast_TA!M138)</f>
        <v>9</v>
      </c>
      <c r="N208" s="97">
        <f>IF(N$12=0,0,Fcast_TA!N138)</f>
        <v>10</v>
      </c>
      <c r="O208" s="97">
        <f>IF(O$12=0,0,Fcast_TA!O138)</f>
        <v>11</v>
      </c>
      <c r="P208" s="97">
        <f>IF(P$12=0,0,Fcast_TA!P138)</f>
        <v>12</v>
      </c>
      <c r="Q208" s="97">
        <f>IF(Q$12=0,0,Fcast_TA!Q138)</f>
        <v>13</v>
      </c>
    </row>
    <row r="210" spans="3:17" s="15" customFormat="1" ht="11.25">
      <c r="C210" s="125" t="str">
        <f>Fcast_TA!D139&amp;" ("&amp;INDEX(LU_Denom,DD_TS_Denom)&amp;")"</f>
        <v>Other Equity ($Millions)</v>
      </c>
    </row>
    <row r="211" spans="3:17" s="15" customFormat="1"/>
    <row r="212" spans="3:17" s="15" customFormat="1">
      <c r="D212" s="170" t="s">
        <v>245</v>
      </c>
      <c r="J212" s="94">
        <f>IF(J$12=0,0,IF(J$12=TS_Data_Full_Pers+1,Fcast_TA!$I$139,I214))</f>
        <v>0</v>
      </c>
      <c r="K212" s="94">
        <f>IF(K$12=0,0,IF(K$12=TS_Data_Full_Pers+1,Fcast_TA!$I$139,J214))</f>
        <v>0</v>
      </c>
      <c r="L212" s="94">
        <f>IF(L$12=0,0,IF(L$12=TS_Data_Full_Pers+1,Fcast_TA!$I$139,K214))</f>
        <v>0</v>
      </c>
      <c r="M212" s="94">
        <f ca="1">IF(M$12=0,0,IF(M$12=TS_Data_Full_Pers+1,Fcast_TA!$I$139,L214))</f>
        <v>5</v>
      </c>
      <c r="N212" s="94">
        <f>IF(N$12=0,0,IF(N$12=TS_Data_Full_Pers+1,Fcast_TA!$I$139,M214))</f>
        <v>5.3999999999999986</v>
      </c>
      <c r="O212" s="94">
        <f>IF(O$12=0,0,IF(O$12=TS_Data_Full_Pers+1,Fcast_TA!$I$139,N214))</f>
        <v>5.4999999999999982</v>
      </c>
      <c r="P212" s="94">
        <f>IF(P$12=0,0,IF(P$12=TS_Data_Full_Pers+1,Fcast_TA!$I$139,O214))</f>
        <v>5.5999999999999979</v>
      </c>
      <c r="Q212" s="94">
        <f>IF(Q$12=0,0,IF(Q$12=TS_Data_Full_Pers+1,Fcast_TA!$I$139,P214))</f>
        <v>5.6999999999999975</v>
      </c>
    </row>
    <row r="213" spans="3:17" s="15" customFormat="1">
      <c r="D213" s="170" t="s">
        <v>491</v>
      </c>
      <c r="J213" s="96">
        <f>IF(J$12=0,0,J214-J212)</f>
        <v>0</v>
      </c>
      <c r="K213" s="96">
        <f t="shared" ref="K213:Q213" si="77">IF(K$12=0,0,K214-K212)</f>
        <v>0</v>
      </c>
      <c r="L213" s="96">
        <f t="shared" si="77"/>
        <v>0</v>
      </c>
      <c r="M213" s="96">
        <f t="shared" ca="1" si="77"/>
        <v>0.39999999999999858</v>
      </c>
      <c r="N213" s="96">
        <f t="shared" si="77"/>
        <v>9.9999999999999645E-2</v>
      </c>
      <c r="O213" s="96">
        <f t="shared" si="77"/>
        <v>9.9999999999999645E-2</v>
      </c>
      <c r="P213" s="96">
        <f t="shared" si="77"/>
        <v>9.9999999999999645E-2</v>
      </c>
      <c r="Q213" s="96">
        <f t="shared" si="77"/>
        <v>9.9999999999999645E-2</v>
      </c>
    </row>
    <row r="214" spans="3:17" s="15" customFormat="1">
      <c r="D214" s="171" t="s">
        <v>409</v>
      </c>
      <c r="J214" s="97">
        <f>IF(J$12=0,0,Fcast_TA!J139)</f>
        <v>0</v>
      </c>
      <c r="K214" s="97">
        <f>IF(K$12=0,0,Fcast_TA!K139)</f>
        <v>0</v>
      </c>
      <c r="L214" s="97">
        <f>IF(L$12=0,0,Fcast_TA!L139)</f>
        <v>0</v>
      </c>
      <c r="M214" s="97">
        <f>IF(M$12=0,0,Fcast_TA!M139)</f>
        <v>5.3999999999999986</v>
      </c>
      <c r="N214" s="97">
        <f>IF(N$12=0,0,Fcast_TA!N139)</f>
        <v>5.4999999999999982</v>
      </c>
      <c r="O214" s="97">
        <f>IF(O$12=0,0,Fcast_TA!O139)</f>
        <v>5.5999999999999979</v>
      </c>
      <c r="P214" s="97">
        <f>IF(P$12=0,0,Fcast_TA!P139)</f>
        <v>5.6999999999999975</v>
      </c>
      <c r="Q214" s="97">
        <f>IF(Q$12=0,0,Fcast_TA!Q139)</f>
        <v>5.7999999999999972</v>
      </c>
    </row>
  </sheetData>
  <mergeCells count="1">
    <mergeCell ref="B3:F3"/>
  </mergeCells>
  <conditionalFormatting sqref="D42">
    <cfRule type="expression" dxfId="67" priority="7" stopIfTrue="1">
      <formula>I42&lt;&gt;0</formula>
    </cfRule>
  </conditionalFormatting>
  <conditionalFormatting sqref="J55:Q59 I136 I138:Q138 J38:Q42 J72:Q74 J133:Q136 J84:Q86">
    <cfRule type="cellIs" dxfId="66" priority="6" stopIfTrue="1" operator="notEqual">
      <formula>0</formula>
    </cfRule>
  </conditionalFormatting>
  <conditionalFormatting sqref="D59">
    <cfRule type="expression" dxfId="65" priority="5" stopIfTrue="1">
      <formula>I59&lt;&gt;0</formula>
    </cfRule>
  </conditionalFormatting>
  <conditionalFormatting sqref="D74">
    <cfRule type="expression" dxfId="64" priority="4" stopIfTrue="1">
      <formula>I74&lt;&gt;0</formula>
    </cfRule>
  </conditionalFormatting>
  <conditionalFormatting sqref="D86">
    <cfRule type="expression" dxfId="63" priority="3" stopIfTrue="1">
      <formula>I86&lt;&gt;0</formula>
    </cfRule>
  </conditionalFormatting>
  <conditionalFormatting sqref="E136 E138">
    <cfRule type="expression" dxfId="62" priority="2" stopIfTrue="1">
      <formula>I136&lt;&gt;0</formula>
    </cfRule>
  </conditionalFormatting>
  <conditionalFormatting sqref="J144:Q144">
    <cfRule type="cellIs" dxfId="61" priority="1" stopIfTrue="1" operator="equal">
      <formula>"Yes"</formula>
    </cfRule>
  </conditionalFormatting>
  <conditionalFormatting sqref="I42">
    <cfRule type="cellIs" dxfId="60" priority="8" stopIfTrue="1" operator="notEqual">
      <formula>0</formula>
    </cfRule>
  </conditionalFormatting>
  <conditionalFormatting sqref="I59">
    <cfRule type="cellIs" dxfId="59" priority="9" stopIfTrue="1" operator="notEqual">
      <formula>0</formula>
    </cfRule>
  </conditionalFormatting>
  <conditionalFormatting sqref="I74">
    <cfRule type="cellIs" dxfId="58" priority="10" stopIfTrue="1" operator="notEqual">
      <formula>0</formula>
    </cfRule>
  </conditionalFormatting>
  <conditionalFormatting sqref="I86">
    <cfRule type="cellIs" dxfId="57" priority="11" stopIfTrue="1" operator="notEqual">
      <formula>0</formula>
    </cfRule>
  </conditionalFormatting>
  <hyperlinks>
    <hyperlink ref="B3" location="HL_Home" tooltip="Go to Table of Contents" display="HL_Home"/>
    <hyperlink ref="A4" location="$B$14" tooltip="Go to Top of Sheet" display="$B$14"/>
    <hyperlink ref="B4" location="HL_Sheet_Main_15" tooltip="Go to Previous Sheet" display="HL_Sheet_Main_15"/>
    <hyperlink ref="C4" location="HL_Sheet_Main_35" tooltip="Go to Next Sheet" display="HL_Sheet_Main_35"/>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6" manualBreakCount="6">
    <brk id="24" min="1" max="16" man="1"/>
    <brk id="61" min="1" max="16" man="1"/>
    <brk id="88" min="1" max="16" man="1"/>
    <brk id="116" min="1" max="16" man="1"/>
    <brk id="157" min="1" max="16" man="1"/>
    <brk id="183" min="1" max="16" man="1"/>
  </rowBreaks>
  <legacyDrawing r:id="rId2"/>
</worksheet>
</file>

<file path=xl/worksheets/sheet24.xml><?xml version="1.0" encoding="utf-8"?>
<worksheet xmlns="http://schemas.openxmlformats.org/spreadsheetml/2006/main" xmlns:r="http://schemas.openxmlformats.org/officeDocument/2006/relationships">
  <sheetPr codeName="Sheet26">
    <pageSetUpPr autoPageBreaks="0"/>
  </sheetPr>
  <dimension ref="A1:Q4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542</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47</v>
      </c>
    </row>
    <row r="18" spans="3:17">
      <c r="D18" s="5" t="str">
        <f>Fcast_OP_TO!C18</f>
        <v>Revenue</v>
      </c>
      <c r="J18" s="94">
        <f>Fcast_OP_TO!J18</f>
        <v>0</v>
      </c>
      <c r="K18" s="94">
        <f>Fcast_OP_TO!K18</f>
        <v>0</v>
      </c>
      <c r="L18" s="94">
        <f>Fcast_OP_TO!L18</f>
        <v>0</v>
      </c>
      <c r="M18" s="94">
        <f>Fcast_OP_TO!M18</f>
        <v>134.611328125</v>
      </c>
      <c r="N18" s="94">
        <f>Fcast_OP_TO!N18</f>
        <v>137.97661132812499</v>
      </c>
      <c r="O18" s="94">
        <f>Fcast_OP_TO!O18</f>
        <v>141.4260266113281</v>
      </c>
      <c r="P18" s="94">
        <f>Fcast_OP_TO!P18</f>
        <v>144.96167727661128</v>
      </c>
      <c r="Q18" s="94">
        <f>Fcast_OP_TO!Q18</f>
        <v>148.58571920852654</v>
      </c>
    </row>
    <row r="19" spans="3:17" s="15" customFormat="1">
      <c r="D19" s="5" t="str">
        <f>Fcast_OP_TO!C19</f>
        <v>Cost of Goods Sold</v>
      </c>
      <c r="J19" s="94">
        <f>-Fcast_OP_TO!J19</f>
        <v>0</v>
      </c>
      <c r="K19" s="94">
        <f>-Fcast_OP_TO!K19</f>
        <v>0</v>
      </c>
      <c r="L19" s="94">
        <f>-Fcast_OP_TO!L19</f>
        <v>0</v>
      </c>
      <c r="M19" s="94">
        <f>-Fcast_OP_TO!M19</f>
        <v>-26.922265624999991</v>
      </c>
      <c r="N19" s="94">
        <f>-Fcast_OP_TO!N19</f>
        <v>-27.59532226562499</v>
      </c>
      <c r="O19" s="94">
        <f>-Fcast_OP_TO!O19</f>
        <v>-28.285205322265611</v>
      </c>
      <c r="P19" s="94">
        <f>-Fcast_OP_TO!P19</f>
        <v>-28.992335455322248</v>
      </c>
      <c r="Q19" s="94">
        <f>-Fcast_OP_TO!Q19</f>
        <v>-29.717143841705301</v>
      </c>
    </row>
    <row r="20" spans="3:17" s="15" customFormat="1">
      <c r="J20" s="94"/>
      <c r="K20" s="94"/>
      <c r="L20" s="94"/>
      <c r="M20" s="94"/>
      <c r="N20" s="94"/>
      <c r="O20" s="94"/>
      <c r="P20" s="94"/>
      <c r="Q20" s="94"/>
    </row>
    <row r="21" spans="3:17" s="15" customFormat="1" ht="11.25">
      <c r="C21" s="93" t="s">
        <v>471</v>
      </c>
      <c r="J21" s="140">
        <f t="shared" ref="J21:Q21" si="8">J18+J19</f>
        <v>0</v>
      </c>
      <c r="K21" s="140">
        <f t="shared" si="8"/>
        <v>0</v>
      </c>
      <c r="L21" s="140">
        <f t="shared" si="8"/>
        <v>0</v>
      </c>
      <c r="M21" s="140">
        <f t="shared" si="8"/>
        <v>107.68906250000001</v>
      </c>
      <c r="N21" s="140">
        <f t="shared" si="8"/>
        <v>110.3812890625</v>
      </c>
      <c r="O21" s="140">
        <f t="shared" si="8"/>
        <v>113.14082128906249</v>
      </c>
      <c r="P21" s="140">
        <f t="shared" si="8"/>
        <v>115.96934182128904</v>
      </c>
      <c r="Q21" s="140">
        <f t="shared" si="8"/>
        <v>118.86857536682123</v>
      </c>
    </row>
    <row r="22" spans="3:17">
      <c r="J22" s="94"/>
      <c r="K22" s="94"/>
      <c r="L22" s="94"/>
      <c r="M22" s="94"/>
      <c r="N22" s="94"/>
      <c r="O22" s="94"/>
      <c r="P22" s="94"/>
      <c r="Q22" s="94"/>
    </row>
    <row r="23" spans="3:17">
      <c r="D23" s="5" t="str">
        <f>Fcast_OP_TO!C20</f>
        <v>Operating Expenditure</v>
      </c>
      <c r="J23" s="94">
        <f>-Fcast_OP_TO!J20</f>
        <v>0</v>
      </c>
      <c r="K23" s="94">
        <f>-Fcast_OP_TO!K20</f>
        <v>0</v>
      </c>
      <c r="L23" s="94">
        <f>-Fcast_OP_TO!L20</f>
        <v>0</v>
      </c>
      <c r="M23" s="94">
        <f>-Fcast_OP_TO!M20</f>
        <v>-43.075624999999995</v>
      </c>
      <c r="N23" s="94">
        <f>-Fcast_OP_TO!N20</f>
        <v>-44.152515624999992</v>
      </c>
      <c r="O23" s="94">
        <f>-Fcast_OP_TO!O20</f>
        <v>-45.256328515624986</v>
      </c>
      <c r="P23" s="94">
        <f>-Fcast_OP_TO!P20</f>
        <v>-46.387736728515605</v>
      </c>
      <c r="Q23" s="94">
        <f>-Fcast_OP_TO!Q20</f>
        <v>-47.547430146728495</v>
      </c>
    </row>
    <row r="24" spans="3:17">
      <c r="J24" s="94"/>
      <c r="K24" s="94"/>
      <c r="L24" s="94"/>
      <c r="M24" s="94"/>
      <c r="N24" s="94"/>
      <c r="O24" s="94"/>
      <c r="P24" s="94"/>
      <c r="Q24" s="94"/>
    </row>
    <row r="25" spans="3:17" ht="11.25">
      <c r="C25" s="93" t="s">
        <v>10</v>
      </c>
      <c r="J25" s="140">
        <f>J21+J23</f>
        <v>0</v>
      </c>
      <c r="K25" s="140">
        <f t="shared" ref="K25:Q25" si="9">K21+K23</f>
        <v>0</v>
      </c>
      <c r="L25" s="140">
        <f t="shared" si="9"/>
        <v>0</v>
      </c>
      <c r="M25" s="140">
        <f t="shared" si="9"/>
        <v>64.613437500000003</v>
      </c>
      <c r="N25" s="140">
        <f t="shared" si="9"/>
        <v>66.22877343750001</v>
      </c>
      <c r="O25" s="140">
        <f t="shared" si="9"/>
        <v>67.884492773437501</v>
      </c>
      <c r="P25" s="140">
        <f t="shared" si="9"/>
        <v>69.58160509277343</v>
      </c>
      <c r="Q25" s="140">
        <f t="shared" si="9"/>
        <v>71.321145220092745</v>
      </c>
    </row>
    <row r="26" spans="3:17">
      <c r="J26" s="94"/>
      <c r="K26" s="94"/>
      <c r="L26" s="94"/>
      <c r="M26" s="94"/>
      <c r="N26" s="94"/>
      <c r="O26" s="94"/>
      <c r="P26" s="94"/>
      <c r="Q26" s="94"/>
    </row>
    <row r="27" spans="3:17" hidden="1" outlineLevel="2">
      <c r="E27" s="5" t="str">
        <f>Fcast_OP_TO!D69</f>
        <v>Depreciation</v>
      </c>
      <c r="J27" s="94">
        <f>Fcast_OP_TO!J69</f>
        <v>0</v>
      </c>
      <c r="K27" s="94">
        <f>Fcast_OP_TO!K69</f>
        <v>0</v>
      </c>
      <c r="L27" s="94">
        <f>Fcast_OP_TO!L69</f>
        <v>0</v>
      </c>
      <c r="M27" s="94">
        <f>Fcast_OP_TO!M69</f>
        <v>-14.538023437499994</v>
      </c>
      <c r="N27" s="94">
        <f>Fcast_OP_TO!N69</f>
        <v>-14.901474023437492</v>
      </c>
      <c r="O27" s="94">
        <f>Fcast_OP_TO!O69</f>
        <v>-15.274010874023428</v>
      </c>
      <c r="P27" s="94">
        <f>Fcast_OP_TO!P69</f>
        <v>-15.655861145874013</v>
      </c>
      <c r="Q27" s="94">
        <f>Fcast_OP_TO!Q69</f>
        <v>-16.047257674520861</v>
      </c>
    </row>
    <row r="28" spans="3:17" s="15" customFormat="1" hidden="1" outlineLevel="2">
      <c r="E28" s="5" t="str">
        <f>Fcast_OP_TO!D81</f>
        <v>Amortization</v>
      </c>
      <c r="J28" s="122">
        <f>Fcast_OP_TO!J81</f>
        <v>0</v>
      </c>
      <c r="K28" s="122">
        <f>Fcast_OP_TO!K81</f>
        <v>0</v>
      </c>
      <c r="L28" s="122">
        <f>Fcast_OP_TO!L81</f>
        <v>0</v>
      </c>
      <c r="M28" s="122">
        <f>Fcast_OP_TO!M81</f>
        <v>-0.67305664062499992</v>
      </c>
      <c r="N28" s="122">
        <f>Fcast_OP_TO!N81</f>
        <v>-0.68988305664062488</v>
      </c>
      <c r="O28" s="122">
        <f>Fcast_OP_TO!O81</f>
        <v>-0.70713013305664041</v>
      </c>
      <c r="P28" s="122">
        <f>Fcast_OP_TO!P81</f>
        <v>-0.72480838638305634</v>
      </c>
      <c r="Q28" s="122">
        <f>Fcast_OP_TO!Q81</f>
        <v>-0.74292859604263273</v>
      </c>
    </row>
    <row r="29" spans="3:17" collapsed="1">
      <c r="D29" s="167" t="s">
        <v>472</v>
      </c>
      <c r="J29" s="94">
        <f>SUM(J27:J28)</f>
        <v>0</v>
      </c>
      <c r="K29" s="94">
        <f t="shared" ref="K29:Q29" si="10">SUM(K27:K28)</f>
        <v>0</v>
      </c>
      <c r="L29" s="94">
        <f t="shared" si="10"/>
        <v>0</v>
      </c>
      <c r="M29" s="94">
        <f t="shared" si="10"/>
        <v>-15.211080078124994</v>
      </c>
      <c r="N29" s="94">
        <f t="shared" si="10"/>
        <v>-15.591357080078117</v>
      </c>
      <c r="O29" s="94">
        <f t="shared" si="10"/>
        <v>-15.981141007080069</v>
      </c>
      <c r="P29" s="94">
        <f t="shared" si="10"/>
        <v>-16.38066953225707</v>
      </c>
      <c r="Q29" s="94">
        <f t="shared" si="10"/>
        <v>-16.790186270563492</v>
      </c>
    </row>
    <row r="30" spans="3:17">
      <c r="J30" s="94"/>
      <c r="K30" s="94"/>
      <c r="L30" s="94"/>
      <c r="M30" s="94"/>
      <c r="N30" s="94"/>
      <c r="O30" s="94"/>
      <c r="P30" s="94"/>
      <c r="Q30" s="94"/>
    </row>
    <row r="31" spans="3:17" ht="11.25">
      <c r="C31" s="93" t="s">
        <v>11</v>
      </c>
      <c r="J31" s="140">
        <f t="shared" ref="J31:Q31" si="11">J25+J29</f>
        <v>0</v>
      </c>
      <c r="K31" s="140">
        <f t="shared" si="11"/>
        <v>0</v>
      </c>
      <c r="L31" s="140">
        <f t="shared" si="11"/>
        <v>0</v>
      </c>
      <c r="M31" s="140">
        <f t="shared" si="11"/>
        <v>49.40235742187501</v>
      </c>
      <c r="N31" s="140">
        <f t="shared" si="11"/>
        <v>50.637416357421891</v>
      </c>
      <c r="O31" s="140">
        <f t="shared" si="11"/>
        <v>51.903351766357432</v>
      </c>
      <c r="P31" s="140">
        <f t="shared" si="11"/>
        <v>53.200935560516356</v>
      </c>
      <c r="Q31" s="140">
        <f t="shared" si="11"/>
        <v>54.53095894952925</v>
      </c>
    </row>
    <row r="32" spans="3:17">
      <c r="J32" s="94"/>
      <c r="K32" s="94"/>
      <c r="L32" s="94"/>
      <c r="M32" s="94"/>
      <c r="N32" s="94"/>
      <c r="O32" s="94"/>
      <c r="P32" s="94"/>
      <c r="Q32" s="94"/>
    </row>
    <row r="33" spans="3:17">
      <c r="D33" s="5" t="str">
        <f>Fcast_OP_TO!E110</f>
        <v>Interest Expense</v>
      </c>
      <c r="J33" s="94">
        <f>-Fcast_OP_TO!J110</f>
        <v>0</v>
      </c>
      <c r="K33" s="94">
        <f>-Fcast_OP_TO!K110</f>
        <v>0</v>
      </c>
      <c r="L33" s="94">
        <f>-Fcast_OP_TO!L110</f>
        <v>0</v>
      </c>
      <c r="M33" s="94">
        <f ca="1">-Fcast_OP_TO!M110</f>
        <v>-3.25</v>
      </c>
      <c r="N33" s="94">
        <f ca="1">-Fcast_OP_TO!N110</f>
        <v>-3.4125000000000001</v>
      </c>
      <c r="O33" s="94">
        <f ca="1">-Fcast_OP_TO!O110</f>
        <v>-3.5750000000000002</v>
      </c>
      <c r="P33" s="94">
        <f ca="1">-Fcast_OP_TO!P110</f>
        <v>-3.5750000000000002</v>
      </c>
      <c r="Q33" s="94">
        <f ca="1">-Fcast_OP_TO!Q110</f>
        <v>-3.5750000000000002</v>
      </c>
    </row>
    <row r="34" spans="3:17">
      <c r="J34" s="94"/>
      <c r="K34" s="94"/>
      <c r="L34" s="94"/>
      <c r="M34" s="94"/>
      <c r="N34" s="94"/>
      <c r="O34" s="94"/>
      <c r="P34" s="94"/>
      <c r="Q34" s="94"/>
    </row>
    <row r="35" spans="3:17" ht="11.25">
      <c r="C35" s="93" t="s">
        <v>12</v>
      </c>
      <c r="J35" s="140">
        <f t="shared" ref="J35:Q35" si="12">J31+J33</f>
        <v>0</v>
      </c>
      <c r="K35" s="140">
        <f t="shared" si="12"/>
        <v>0</v>
      </c>
      <c r="L35" s="140">
        <f t="shared" si="12"/>
        <v>0</v>
      </c>
      <c r="M35" s="140">
        <f t="shared" ca="1" si="12"/>
        <v>46.15235742187501</v>
      </c>
      <c r="N35" s="140">
        <f t="shared" ca="1" si="12"/>
        <v>47.22491635742189</v>
      </c>
      <c r="O35" s="140">
        <f t="shared" ca="1" si="12"/>
        <v>48.328351766357429</v>
      </c>
      <c r="P35" s="140">
        <f t="shared" ca="1" si="12"/>
        <v>49.625935560516353</v>
      </c>
      <c r="Q35" s="140">
        <f t="shared" ca="1" si="12"/>
        <v>50.955958949529247</v>
      </c>
    </row>
    <row r="36" spans="3:17">
      <c r="J36" s="94"/>
      <c r="K36" s="94"/>
      <c r="L36" s="94"/>
      <c r="M36" s="94"/>
      <c r="N36" s="94"/>
      <c r="O36" s="94"/>
      <c r="P36" s="94"/>
      <c r="Q36" s="94"/>
    </row>
    <row r="37" spans="3:17">
      <c r="D37" s="5" t="str">
        <f>Fcast_OP_TO!D174</f>
        <v>Tax Expense / (Benefit)</v>
      </c>
      <c r="J37" s="94">
        <f>-Fcast_OP_TO!J174</f>
        <v>0</v>
      </c>
      <c r="K37" s="94">
        <f>-Fcast_OP_TO!K174</f>
        <v>0</v>
      </c>
      <c r="L37" s="94">
        <f>-Fcast_OP_TO!L174</f>
        <v>0</v>
      </c>
      <c r="M37" s="94">
        <f ca="1">-Fcast_OP_TO!M174</f>
        <v>-13.845707226562503</v>
      </c>
      <c r="N37" s="94">
        <f ca="1">-Fcast_OP_TO!N174</f>
        <v>-14.167474907226566</v>
      </c>
      <c r="O37" s="94">
        <f ca="1">-Fcast_OP_TO!O174</f>
        <v>-14.498505529907227</v>
      </c>
      <c r="P37" s="94">
        <f ca="1">-Fcast_OP_TO!P174</f>
        <v>-14.887780668154907</v>
      </c>
      <c r="Q37" s="94">
        <f ca="1">-Fcast_OP_TO!Q174</f>
        <v>-15.286787684858773</v>
      </c>
    </row>
    <row r="38" spans="3:17">
      <c r="J38" s="94"/>
      <c r="K38" s="94"/>
      <c r="L38" s="94"/>
      <c r="M38" s="94"/>
      <c r="N38" s="94"/>
      <c r="O38" s="94"/>
      <c r="P38" s="94"/>
      <c r="Q38" s="94"/>
    </row>
    <row r="39" spans="3:17" ht="12.75" thickBot="1">
      <c r="C39" s="16" t="s">
        <v>13</v>
      </c>
      <c r="J39" s="139">
        <f t="shared" ref="J39:Q39" si="13">J35+J37</f>
        <v>0</v>
      </c>
      <c r="K39" s="139">
        <f t="shared" si="13"/>
        <v>0</v>
      </c>
      <c r="L39" s="139">
        <f t="shared" si="13"/>
        <v>0</v>
      </c>
      <c r="M39" s="139">
        <f t="shared" ca="1" si="13"/>
        <v>32.306650195312507</v>
      </c>
      <c r="N39" s="139">
        <f t="shared" ca="1" si="13"/>
        <v>33.057441450195327</v>
      </c>
      <c r="O39" s="139">
        <f t="shared" ca="1" si="13"/>
        <v>33.829846236450202</v>
      </c>
      <c r="P39" s="139">
        <f t="shared" ca="1" si="13"/>
        <v>34.73815489236145</v>
      </c>
      <c r="Q39" s="139">
        <f t="shared" ca="1" si="13"/>
        <v>35.669171264670474</v>
      </c>
    </row>
    <row r="40" spans="3:17" ht="11.25" thickTop="1"/>
    <row r="41" spans="3:17" ht="11.25">
      <c r="C41" s="14" t="s">
        <v>412</v>
      </c>
      <c r="I41" s="98">
        <f ca="1">IF(ISERROR(SUM(J41:Q41)),0,MIN(SUM(J41:Q41),1))</f>
        <v>0</v>
      </c>
      <c r="J41" s="95">
        <f t="shared" ref="J41:Q41" si="14">IF(ISERROR(J39),1,0)</f>
        <v>0</v>
      </c>
      <c r="K41" s="95">
        <f t="shared" si="14"/>
        <v>0</v>
      </c>
      <c r="L41" s="95">
        <f t="shared" si="14"/>
        <v>0</v>
      </c>
      <c r="M41" s="95">
        <f t="shared" ca="1" si="14"/>
        <v>0</v>
      </c>
      <c r="N41" s="95">
        <f t="shared" ca="1" si="14"/>
        <v>0</v>
      </c>
      <c r="O41" s="95">
        <f t="shared" ca="1" si="14"/>
        <v>0</v>
      </c>
      <c r="P41" s="95">
        <f t="shared" ca="1" si="14"/>
        <v>0</v>
      </c>
      <c r="Q41" s="95">
        <f t="shared" ca="1" si="14"/>
        <v>0</v>
      </c>
    </row>
    <row r="43" spans="3:17">
      <c r="C43" s="161" t="s">
        <v>203</v>
      </c>
      <c r="D43" s="15"/>
    </row>
    <row r="44" spans="3:17" s="15" customFormat="1">
      <c r="C44" s="138">
        <v>1</v>
      </c>
      <c r="D44" s="214" t="str">
        <f>"All revenues and expenses are specified in "&amp;INDEX(LU_Denom,DD_TS_Denom)&amp;"."</f>
        <v>All revenues and expenses are specified in $Millions.</v>
      </c>
    </row>
    <row r="45" spans="3:17" s="15" customFormat="1">
      <c r="C45" s="138">
        <v>2</v>
      </c>
      <c r="D45" s="107" t="s">
        <v>14</v>
      </c>
    </row>
    <row r="47" spans="3:17">
      <c r="C47" s="106" t="str">
        <f>"Go to "&amp;BS_Fcast_TO!$B$1</f>
        <v>Go to Balance Sheet - Forecast Outputs</v>
      </c>
      <c r="D47" s="8"/>
      <c r="E47" s="8"/>
      <c r="F47" s="8"/>
      <c r="G47" s="8"/>
      <c r="H47" s="8"/>
      <c r="I47" s="8"/>
    </row>
  </sheetData>
  <mergeCells count="1">
    <mergeCell ref="B3:F3"/>
  </mergeCells>
  <conditionalFormatting sqref="C41">
    <cfRule type="expression" dxfId="56" priority="2" stopIfTrue="1">
      <formula>I41&lt;&gt;0</formula>
    </cfRule>
  </conditionalFormatting>
  <conditionalFormatting sqref="I41:Q41">
    <cfRule type="cellIs" dxfId="55" priority="1" stopIfTrue="1" operator="notEqual">
      <formula>0</formula>
    </cfRule>
  </conditionalFormatting>
  <hyperlinks>
    <hyperlink ref="C47:I47" location="HL_Sheet_Main_36" tooltip="Go to Balance Sheet" display="HL_Sheet_Main_36"/>
    <hyperlink ref="B3" location="HL_Home" tooltip="Go to Table of Contents" display="HL_Home"/>
    <hyperlink ref="A4" location="$B$14" tooltip="Go to Top of Sheet" display="$B$14"/>
    <hyperlink ref="B4" location="HL_Sheet_Main_12" tooltip="Go to Previous Sheet" display="HL_Sheet_Main_12"/>
    <hyperlink ref="C4" location="HL_Sheet_Main_36" tooltip="Go to Next Sheet" display="HL_Sheet_Main_3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 r:id="rId2"/>
  <legacyDrawingHF r:id="rId3"/>
</worksheet>
</file>

<file path=xl/worksheets/sheet25.xml><?xml version="1.0" encoding="utf-8"?>
<worksheet xmlns="http://schemas.openxmlformats.org/spreadsheetml/2006/main" xmlns:r="http://schemas.openxmlformats.org/officeDocument/2006/relationships">
  <sheetPr codeName="Sheet27">
    <pageSetUpPr autoPageBreaks="0"/>
  </sheetPr>
  <dimension ref="A1:Q7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543</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0</v>
      </c>
    </row>
    <row r="18" spans="3:17" ht="11.25">
      <c r="C18" s="93" t="s">
        <v>30</v>
      </c>
    </row>
    <row r="20" spans="3:17" hidden="1" outlineLevel="2">
      <c r="E20" s="107" t="s">
        <v>41</v>
      </c>
      <c r="J20" s="94">
        <f>IF(J$12=0,0,IF(J$12=TS_Data_Full_Pers+1,Fcast_TA!$I$127,I22))</f>
        <v>0</v>
      </c>
      <c r="K20" s="94">
        <f>IF(K$12=0,0,IF(K$12=TS_Data_Full_Pers+1,Fcast_TA!$I$127,J22))</f>
        <v>0</v>
      </c>
      <c r="L20" s="94">
        <f>IF(L$12=0,0,IF(L$12=TS_Data_Full_Pers+1,Fcast_TA!$I$127,K22))</f>
        <v>0</v>
      </c>
      <c r="M20" s="94">
        <f ca="1">IF(M$12=0,0,IF(M$12=TS_Data_Full_Pers+1,Fcast_TA!$I$127,L22))</f>
        <v>24.635307976188827</v>
      </c>
      <c r="N20" s="94">
        <f ca="1">IF(N$12=0,0,IF(N$12=TS_Data_Full_Pers+1,Fcast_TA!$I$127,M22))</f>
        <v>37.849752117669134</v>
      </c>
      <c r="O20" s="94">
        <f ca="1">IF(O$12=0,0,IF(O$12=TS_Data_Full_Pers+1,Fcast_TA!$I$127,N22))</f>
        <v>56.014020321295796</v>
      </c>
      <c r="P20" s="94">
        <f ca="1">IF(P$12=0,0,IF(P$12=TS_Data_Full_Pers+1,Fcast_TA!$I$127,O22))</f>
        <v>69.479098355013136</v>
      </c>
      <c r="Q20" s="94">
        <f ca="1">IF(Q$12=0,0,IF(Q$12=TS_Data_Full_Pers+1,Fcast_TA!$I$127,P22))</f>
        <v>83.366715156101776</v>
      </c>
    </row>
    <row r="21" spans="3:17" hidden="1" outlineLevel="2">
      <c r="E21" s="107" t="s">
        <v>42</v>
      </c>
      <c r="J21" s="122">
        <f>CFS_Fcast_TO!J51</f>
        <v>0</v>
      </c>
      <c r="K21" s="122">
        <f>CFS_Fcast_TO!K51</f>
        <v>0</v>
      </c>
      <c r="L21" s="122">
        <f>CFS_Fcast_TO!L51</f>
        <v>0</v>
      </c>
      <c r="M21" s="122">
        <f ca="1">CFS_Fcast_TO!M51</f>
        <v>13.214444141480307</v>
      </c>
      <c r="N21" s="122">
        <f ca="1">CFS_Fcast_TO!N51</f>
        <v>18.164268203626662</v>
      </c>
      <c r="O21" s="122">
        <f ca="1">CFS_Fcast_TO!O51</f>
        <v>13.465078033717337</v>
      </c>
      <c r="P21" s="122">
        <f ca="1">CFS_Fcast_TO!P51</f>
        <v>13.887616801088644</v>
      </c>
      <c r="Q21" s="122">
        <f ca="1">CFS_Fcast_TO!Q51</f>
        <v>14.249085792645893</v>
      </c>
    </row>
    <row r="22" spans="3:17" collapsed="1">
      <c r="D22" s="167" t="s">
        <v>487</v>
      </c>
      <c r="J22" s="94">
        <f t="shared" ref="J22:Q22" si="8">SUM(J20:J21)</f>
        <v>0</v>
      </c>
      <c r="K22" s="94">
        <f t="shared" si="8"/>
        <v>0</v>
      </c>
      <c r="L22" s="94">
        <f t="shared" si="8"/>
        <v>0</v>
      </c>
      <c r="M22" s="94">
        <f t="shared" ca="1" si="8"/>
        <v>37.849752117669134</v>
      </c>
      <c r="N22" s="94">
        <f t="shared" ca="1" si="8"/>
        <v>56.014020321295796</v>
      </c>
      <c r="O22" s="94">
        <f t="shared" ca="1" si="8"/>
        <v>69.479098355013136</v>
      </c>
      <c r="P22" s="94">
        <f t="shared" ca="1" si="8"/>
        <v>83.366715156101776</v>
      </c>
      <c r="Q22" s="94">
        <f t="shared" ca="1" si="8"/>
        <v>97.615800948747676</v>
      </c>
    </row>
    <row r="23" spans="3:17">
      <c r="D23" s="167" t="s">
        <v>298</v>
      </c>
      <c r="J23" s="94">
        <f>Fcast_OP_TO!J33</f>
        <v>0</v>
      </c>
      <c r="K23" s="94">
        <f>Fcast_OP_TO!K33</f>
        <v>0</v>
      </c>
      <c r="L23" s="94">
        <f>Fcast_OP_TO!L33</f>
        <v>0</v>
      </c>
      <c r="M23" s="94">
        <f>Fcast_OP_TO!M33</f>
        <v>11.063944777397261</v>
      </c>
      <c r="N23" s="94">
        <f>Fcast_OP_TO!N33</f>
        <v>11.340543396832192</v>
      </c>
      <c r="O23" s="94">
        <f>Fcast_OP_TO!O33</f>
        <v>11.624056981752995</v>
      </c>
      <c r="P23" s="94">
        <f>Fcast_OP_TO!P33</f>
        <v>11.882104694804204</v>
      </c>
      <c r="Q23" s="94">
        <f>Fcast_OP_TO!Q33</f>
        <v>12.212524866454237</v>
      </c>
    </row>
    <row r="24" spans="3:17" s="15" customFormat="1">
      <c r="D24" s="5" t="str">
        <f>Fcast_TA!D135</f>
        <v>Other Current Assets</v>
      </c>
      <c r="J24" s="94">
        <f>Fcast_OP_TO!J190</f>
        <v>0</v>
      </c>
      <c r="K24" s="94">
        <f>Fcast_OP_TO!K190</f>
        <v>0</v>
      </c>
      <c r="L24" s="94">
        <f>Fcast_OP_TO!L190</f>
        <v>0</v>
      </c>
      <c r="M24" s="94">
        <f>Fcast_OP_TO!M190</f>
        <v>6</v>
      </c>
      <c r="N24" s="94">
        <f>Fcast_OP_TO!N190</f>
        <v>7</v>
      </c>
      <c r="O24" s="94">
        <f>Fcast_OP_TO!O190</f>
        <v>8</v>
      </c>
      <c r="P24" s="94">
        <f>Fcast_OP_TO!P190</f>
        <v>9</v>
      </c>
      <c r="Q24" s="94">
        <f>Fcast_OP_TO!Q190</f>
        <v>10</v>
      </c>
    </row>
    <row r="25" spans="3:17">
      <c r="D25" s="136" t="str">
        <f>"Total "&amp;C18</f>
        <v>Total Current Assets</v>
      </c>
      <c r="J25" s="127">
        <f>J22+SUM(J23:J24)</f>
        <v>0</v>
      </c>
      <c r="K25" s="127">
        <f t="shared" ref="K25:Q25" si="9">K22+SUM(K23:K24)</f>
        <v>0</v>
      </c>
      <c r="L25" s="127">
        <f t="shared" si="9"/>
        <v>0</v>
      </c>
      <c r="M25" s="127">
        <f t="shared" ca="1" si="9"/>
        <v>54.913696895066394</v>
      </c>
      <c r="N25" s="127">
        <f t="shared" ca="1" si="9"/>
        <v>74.354563718127991</v>
      </c>
      <c r="O25" s="127">
        <f t="shared" ca="1" si="9"/>
        <v>89.103155336766122</v>
      </c>
      <c r="P25" s="127">
        <f t="shared" ca="1" si="9"/>
        <v>104.24881985090599</v>
      </c>
      <c r="Q25" s="127">
        <f t="shared" ca="1" si="9"/>
        <v>119.82832581520191</v>
      </c>
    </row>
    <row r="26" spans="3:17">
      <c r="J26" s="94"/>
      <c r="K26" s="94"/>
      <c r="L26" s="94"/>
      <c r="M26" s="94"/>
      <c r="N26" s="94"/>
      <c r="O26" s="94"/>
      <c r="P26" s="94"/>
      <c r="Q26" s="94"/>
    </row>
    <row r="27" spans="3:17" ht="11.25">
      <c r="C27" s="93" t="s">
        <v>31</v>
      </c>
      <c r="J27" s="94"/>
      <c r="K27" s="94"/>
      <c r="L27" s="94"/>
      <c r="M27" s="94"/>
      <c r="N27" s="94"/>
      <c r="O27" s="94"/>
      <c r="P27" s="94"/>
      <c r="Q27" s="94"/>
    </row>
    <row r="28" spans="3:17">
      <c r="J28" s="94"/>
      <c r="K28" s="94"/>
      <c r="L28" s="94"/>
      <c r="M28" s="94"/>
      <c r="N28" s="94"/>
      <c r="O28" s="94"/>
      <c r="P28" s="94"/>
      <c r="Q28" s="94"/>
    </row>
    <row r="29" spans="3:17">
      <c r="D29" s="167" t="s">
        <v>455</v>
      </c>
      <c r="J29" s="94">
        <f>Fcast_OP_TO!J70</f>
        <v>0</v>
      </c>
      <c r="K29" s="94">
        <f>Fcast_OP_TO!K70</f>
        <v>0</v>
      </c>
      <c r="L29" s="94">
        <f>Fcast_OP_TO!L70</f>
        <v>0</v>
      </c>
      <c r="M29" s="94">
        <f ca="1">Fcast_OP_TO!M70</f>
        <v>151.22877343750002</v>
      </c>
      <c r="N29" s="94">
        <f ca="1">Fcast_OP_TO!N70</f>
        <v>152.88449277343753</v>
      </c>
      <c r="O29" s="94">
        <f ca="1">Fcast_OP_TO!O70</f>
        <v>154.58160509277349</v>
      </c>
      <c r="P29" s="94">
        <f ca="1">Fcast_OP_TO!P70</f>
        <v>156.32114522009283</v>
      </c>
      <c r="Q29" s="94">
        <f ca="1">Fcast_OP_TO!Q70</f>
        <v>158.10417385059515</v>
      </c>
    </row>
    <row r="30" spans="3:17" s="15" customFormat="1">
      <c r="D30" s="167" t="s">
        <v>473</v>
      </c>
      <c r="J30" s="94">
        <f>Fcast_OP_TO!J82</f>
        <v>0</v>
      </c>
      <c r="K30" s="94">
        <f>Fcast_OP_TO!K82</f>
        <v>0</v>
      </c>
      <c r="L30" s="94">
        <f>Fcast_OP_TO!L82</f>
        <v>0</v>
      </c>
      <c r="M30" s="94">
        <f ca="1">Fcast_OP_TO!M82</f>
        <v>19.285966796874998</v>
      </c>
      <c r="N30" s="94">
        <f ca="1">Fcast_OP_TO!N82</f>
        <v>21.355615966796872</v>
      </c>
      <c r="O30" s="94">
        <f ca="1">Fcast_OP_TO!O82</f>
        <v>23.477006365966794</v>
      </c>
      <c r="P30" s="94">
        <f ca="1">Fcast_OP_TO!P82</f>
        <v>25.651431525115964</v>
      </c>
      <c r="Q30" s="94">
        <f ca="1">Fcast_OP_TO!Q82</f>
        <v>27.880217313243865</v>
      </c>
    </row>
    <row r="31" spans="3:17">
      <c r="D31" s="107" t="s">
        <v>3</v>
      </c>
      <c r="J31" s="143">
        <f ca="1">IF(J$12=0,0,OFFSET(BS_Hist_TO!$I$31,0,TS_Data_Total_Pers))</f>
        <v>0</v>
      </c>
      <c r="K31" s="143">
        <f ca="1">IF(K$12=0,0,OFFSET(BS_Hist_TO!$I$31,0,TS_Data_Total_Pers))</f>
        <v>0</v>
      </c>
      <c r="L31" s="143">
        <f ca="1">IF(L$12=0,0,OFFSET(BS_Hist_TO!$I$31,0,TS_Data_Total_Pers))</f>
        <v>0</v>
      </c>
      <c r="M31" s="143">
        <f ca="1">IF(M$12=0,0,OFFSET(BS_Hist_TO!$I$31,0,TS_Data_Total_Pers))</f>
        <v>0</v>
      </c>
      <c r="N31" s="143">
        <f ca="1">IF(N$12=0,0,OFFSET(BS_Hist_TO!$I$31,0,TS_Data_Total_Pers))</f>
        <v>0</v>
      </c>
      <c r="O31" s="143">
        <f ca="1">IF(O$12=0,0,OFFSET(BS_Hist_TO!$I$31,0,TS_Data_Total_Pers))</f>
        <v>0</v>
      </c>
      <c r="P31" s="143">
        <f ca="1">IF(P$12=0,0,OFFSET(BS_Hist_TO!$I$31,0,TS_Data_Total_Pers))</f>
        <v>0</v>
      </c>
      <c r="Q31" s="143">
        <f ca="1">IF(Q$12=0,0,OFFSET(BS_Hist_TO!$I$31,0,TS_Data_Total_Pers))</f>
        <v>0</v>
      </c>
    </row>
    <row r="32" spans="3:17" s="15" customFormat="1">
      <c r="D32" s="5" t="str">
        <f>Fcast_TA!D136</f>
        <v>Other Non-Current Assets</v>
      </c>
      <c r="J32" s="94">
        <f>Fcast_OP_TO!J196</f>
        <v>0</v>
      </c>
      <c r="K32" s="94">
        <f>Fcast_OP_TO!K196</f>
        <v>0</v>
      </c>
      <c r="L32" s="94">
        <f>Fcast_OP_TO!L196</f>
        <v>0</v>
      </c>
      <c r="M32" s="94">
        <f>Fcast_OP_TO!M196</f>
        <v>7</v>
      </c>
      <c r="N32" s="94">
        <f>Fcast_OP_TO!N196</f>
        <v>8</v>
      </c>
      <c r="O32" s="94">
        <f>Fcast_OP_TO!O196</f>
        <v>9</v>
      </c>
      <c r="P32" s="94">
        <f>Fcast_OP_TO!P196</f>
        <v>10</v>
      </c>
      <c r="Q32" s="94">
        <f>Fcast_OP_TO!Q196</f>
        <v>11</v>
      </c>
    </row>
    <row r="33" spans="3:17">
      <c r="D33" s="136" t="str">
        <f>"Total "&amp;C27</f>
        <v>Total Non-Current Assets</v>
      </c>
      <c r="J33" s="127">
        <f ca="1">SUM(J29:J32)</f>
        <v>0</v>
      </c>
      <c r="K33" s="127">
        <f t="shared" ref="K33:Q33" ca="1" si="10">SUM(K29:K32)</f>
        <v>0</v>
      </c>
      <c r="L33" s="127">
        <f t="shared" ca="1" si="10"/>
        <v>0</v>
      </c>
      <c r="M33" s="127">
        <f t="shared" ca="1" si="10"/>
        <v>177.51474023437501</v>
      </c>
      <c r="N33" s="127">
        <f t="shared" ca="1" si="10"/>
        <v>182.2401087402344</v>
      </c>
      <c r="O33" s="127">
        <f t="shared" ca="1" si="10"/>
        <v>187.05861145874027</v>
      </c>
      <c r="P33" s="127">
        <f t="shared" ca="1" si="10"/>
        <v>191.97257674520878</v>
      </c>
      <c r="Q33" s="127">
        <f t="shared" ca="1" si="10"/>
        <v>196.98439116383901</v>
      </c>
    </row>
    <row r="34" spans="3:17">
      <c r="J34" s="94"/>
      <c r="K34" s="94"/>
      <c r="L34" s="94"/>
      <c r="M34" s="94"/>
      <c r="N34" s="94"/>
      <c r="O34" s="94"/>
      <c r="P34" s="94"/>
      <c r="Q34" s="94"/>
    </row>
    <row r="35" spans="3:17" ht="11.25">
      <c r="C35" s="93" t="s">
        <v>32</v>
      </c>
      <c r="J35" s="140">
        <f t="shared" ref="J35:Q35" ca="1" si="11">J25+J33</f>
        <v>0</v>
      </c>
      <c r="K35" s="140">
        <f t="shared" ca="1" si="11"/>
        <v>0</v>
      </c>
      <c r="L35" s="140">
        <f t="shared" ca="1" si="11"/>
        <v>0</v>
      </c>
      <c r="M35" s="140">
        <f t="shared" ca="1" si="11"/>
        <v>232.42843712944142</v>
      </c>
      <c r="N35" s="140">
        <f t="shared" ca="1" si="11"/>
        <v>256.59467245836242</v>
      </c>
      <c r="O35" s="140">
        <f t="shared" ca="1" si="11"/>
        <v>276.16176679550642</v>
      </c>
      <c r="P35" s="140">
        <f t="shared" ca="1" si="11"/>
        <v>296.2213965961148</v>
      </c>
      <c r="Q35" s="140">
        <f t="shared" ca="1" si="11"/>
        <v>316.81271697904094</v>
      </c>
    </row>
    <row r="36" spans="3:17">
      <c r="J36" s="94"/>
      <c r="K36" s="94"/>
      <c r="L36" s="94"/>
      <c r="M36" s="94"/>
      <c r="N36" s="94"/>
      <c r="O36" s="94"/>
      <c r="P36" s="94"/>
      <c r="Q36" s="94"/>
    </row>
    <row r="37" spans="3:17" ht="11.25">
      <c r="C37" s="93" t="s">
        <v>33</v>
      </c>
      <c r="J37" s="94"/>
      <c r="K37" s="94"/>
      <c r="L37" s="94"/>
      <c r="M37" s="94"/>
      <c r="N37" s="94"/>
      <c r="O37" s="94"/>
      <c r="P37" s="94"/>
      <c r="Q37" s="94"/>
    </row>
    <row r="38" spans="3:17">
      <c r="J38" s="94"/>
      <c r="K38" s="94"/>
      <c r="L38" s="94"/>
      <c r="M38" s="94"/>
      <c r="N38" s="94"/>
      <c r="O38" s="94"/>
      <c r="P38" s="94"/>
      <c r="Q38" s="94"/>
    </row>
    <row r="39" spans="3:17">
      <c r="D39" s="170" t="s">
        <v>299</v>
      </c>
      <c r="J39" s="94">
        <f>Fcast_OP_TO!J50</f>
        <v>0</v>
      </c>
      <c r="K39" s="94">
        <f>Fcast_OP_TO!K50</f>
        <v>0</v>
      </c>
      <c r="L39" s="94">
        <f>Fcast_OP_TO!L50</f>
        <v>0</v>
      </c>
      <c r="M39" s="94">
        <f>Fcast_OP_TO!M50</f>
        <v>8.629876926369862</v>
      </c>
      <c r="N39" s="94">
        <f>Fcast_OP_TO!N50</f>
        <v>8.8456238495291082</v>
      </c>
      <c r="O39" s="94">
        <f>Fcast_OP_TO!O50</f>
        <v>9.0667644457673351</v>
      </c>
      <c r="P39" s="94">
        <f>Fcast_OP_TO!P50</f>
        <v>9.2680416619472759</v>
      </c>
      <c r="Q39" s="94">
        <f>Fcast_OP_TO!Q50</f>
        <v>9.5257693958343044</v>
      </c>
    </row>
    <row r="40" spans="3:17">
      <c r="D40" s="170" t="s">
        <v>8</v>
      </c>
      <c r="J40" s="94">
        <f>Fcast_OP_TO!J181</f>
        <v>0</v>
      </c>
      <c r="K40" s="94">
        <f>Fcast_OP_TO!K181</f>
        <v>0</v>
      </c>
      <c r="L40" s="94">
        <f>Fcast_OP_TO!L181</f>
        <v>0</v>
      </c>
      <c r="M40" s="94">
        <f ca="1">Fcast_OP_TO!M181</f>
        <v>13.845707226562505</v>
      </c>
      <c r="N40" s="94">
        <f ca="1">Fcast_OP_TO!N181</f>
        <v>14.16747490722657</v>
      </c>
      <c r="O40" s="94">
        <f ca="1">Fcast_OP_TO!O181</f>
        <v>14.498505529907231</v>
      </c>
      <c r="P40" s="94">
        <f ca="1">Fcast_OP_TO!P181</f>
        <v>14.88778066815491</v>
      </c>
      <c r="Q40" s="94">
        <f ca="1">Fcast_OP_TO!Q181</f>
        <v>15.286787684858776</v>
      </c>
    </row>
    <row r="41" spans="3:17">
      <c r="D41" s="170" t="s">
        <v>478</v>
      </c>
      <c r="J41" s="94">
        <f>Fcast_OP_TO!J115</f>
        <v>0</v>
      </c>
      <c r="K41" s="94">
        <f>Fcast_OP_TO!K115</f>
        <v>0</v>
      </c>
      <c r="L41" s="94">
        <f>Fcast_OP_TO!L115</f>
        <v>0</v>
      </c>
      <c r="M41" s="94">
        <f ca="1">Fcast_OP_TO!M115</f>
        <v>0</v>
      </c>
      <c r="N41" s="94">
        <f ca="1">Fcast_OP_TO!N115</f>
        <v>0</v>
      </c>
      <c r="O41" s="94">
        <f ca="1">Fcast_OP_TO!O115</f>
        <v>0</v>
      </c>
      <c r="P41" s="94">
        <f ca="1">Fcast_OP_TO!P115</f>
        <v>0</v>
      </c>
      <c r="Q41" s="94">
        <f ca="1">Fcast_OP_TO!Q115</f>
        <v>0</v>
      </c>
    </row>
    <row r="42" spans="3:17">
      <c r="D42" s="170" t="s">
        <v>34</v>
      </c>
      <c r="J42" s="94">
        <f>Fcast_OP_TO!J131</f>
        <v>0</v>
      </c>
      <c r="K42" s="94">
        <f>Fcast_OP_TO!K131</f>
        <v>0</v>
      </c>
      <c r="L42" s="94">
        <f>Fcast_OP_TO!L131</f>
        <v>0</v>
      </c>
      <c r="M42" s="94">
        <f ca="1">Fcast_OP_TO!M131</f>
        <v>0</v>
      </c>
      <c r="N42" s="94">
        <f ca="1">Fcast_OP_TO!N131</f>
        <v>0</v>
      </c>
      <c r="O42" s="94">
        <f ca="1">Fcast_OP_TO!O131</f>
        <v>0</v>
      </c>
      <c r="P42" s="94">
        <f ca="1">Fcast_OP_TO!P131</f>
        <v>0</v>
      </c>
      <c r="Q42" s="94">
        <f ca="1">Fcast_OP_TO!Q131</f>
        <v>0</v>
      </c>
    </row>
    <row r="43" spans="3:17" s="15" customFormat="1">
      <c r="D43" s="5" t="str">
        <f>Fcast_TA!D137</f>
        <v>Other Current Liabilities</v>
      </c>
      <c r="J43" s="94">
        <f>Fcast_OP_TO!J202</f>
        <v>0</v>
      </c>
      <c r="K43" s="94">
        <f>Fcast_OP_TO!K202</f>
        <v>0</v>
      </c>
      <c r="L43" s="94">
        <f>Fcast_OP_TO!L202</f>
        <v>0</v>
      </c>
      <c r="M43" s="94">
        <f>Fcast_OP_TO!M202</f>
        <v>8</v>
      </c>
      <c r="N43" s="94">
        <f>Fcast_OP_TO!N202</f>
        <v>9</v>
      </c>
      <c r="O43" s="94">
        <f>Fcast_OP_TO!O202</f>
        <v>10</v>
      </c>
      <c r="P43" s="94">
        <f>Fcast_OP_TO!P202</f>
        <v>11</v>
      </c>
      <c r="Q43" s="94">
        <f>Fcast_OP_TO!Q202</f>
        <v>12</v>
      </c>
    </row>
    <row r="44" spans="3:17">
      <c r="D44" s="136" t="str">
        <f>"Total "&amp;C37</f>
        <v>Total Current Liabilities</v>
      </c>
      <c r="J44" s="127">
        <f>SUM(J39:J43)</f>
        <v>0</v>
      </c>
      <c r="K44" s="127">
        <f t="shared" ref="K44:Q44" si="12">SUM(K39:K43)</f>
        <v>0</v>
      </c>
      <c r="L44" s="127">
        <f t="shared" si="12"/>
        <v>0</v>
      </c>
      <c r="M44" s="127">
        <f t="shared" ca="1" si="12"/>
        <v>30.475584152932367</v>
      </c>
      <c r="N44" s="127">
        <f t="shared" ca="1" si="12"/>
        <v>32.013098756755682</v>
      </c>
      <c r="O44" s="127">
        <f t="shared" ca="1" si="12"/>
        <v>33.565269975674568</v>
      </c>
      <c r="P44" s="127">
        <f t="shared" ca="1" si="12"/>
        <v>35.155822330102183</v>
      </c>
      <c r="Q44" s="127">
        <f t="shared" ca="1" si="12"/>
        <v>36.812557080693082</v>
      </c>
    </row>
    <row r="45" spans="3:17">
      <c r="J45" s="94"/>
      <c r="K45" s="94"/>
      <c r="L45" s="94"/>
      <c r="M45" s="94"/>
      <c r="N45" s="94"/>
      <c r="O45" s="94"/>
      <c r="P45" s="94"/>
      <c r="Q45" s="94"/>
    </row>
    <row r="46" spans="3:17" ht="11.25">
      <c r="C46" s="93" t="s">
        <v>35</v>
      </c>
      <c r="J46" s="94"/>
      <c r="K46" s="94"/>
      <c r="L46" s="94"/>
      <c r="M46" s="94"/>
      <c r="N46" s="94"/>
      <c r="O46" s="94"/>
      <c r="P46" s="94"/>
      <c r="Q46" s="94"/>
    </row>
    <row r="47" spans="3:17">
      <c r="J47" s="94"/>
      <c r="K47" s="94"/>
      <c r="L47" s="94"/>
      <c r="M47" s="94"/>
      <c r="N47" s="94"/>
      <c r="O47" s="94"/>
      <c r="P47" s="94"/>
      <c r="Q47" s="94"/>
    </row>
    <row r="48" spans="3:17">
      <c r="D48" s="167" t="s">
        <v>254</v>
      </c>
      <c r="J48" s="94">
        <f>Fcast_OP_TO!J98</f>
        <v>0</v>
      </c>
      <c r="K48" s="94">
        <f>Fcast_OP_TO!K98</f>
        <v>0</v>
      </c>
      <c r="L48" s="94">
        <f>Fcast_OP_TO!L98</f>
        <v>0</v>
      </c>
      <c r="M48" s="94">
        <f ca="1">Fcast_OP_TO!M98</f>
        <v>50</v>
      </c>
      <c r="N48" s="94">
        <f ca="1">Fcast_OP_TO!N98</f>
        <v>55</v>
      </c>
      <c r="O48" s="94">
        <f ca="1">Fcast_OP_TO!O98</f>
        <v>55</v>
      </c>
      <c r="P48" s="94">
        <f ca="1">Fcast_OP_TO!P98</f>
        <v>55</v>
      </c>
      <c r="Q48" s="94">
        <f ca="1">Fcast_OP_TO!Q98</f>
        <v>55</v>
      </c>
    </row>
    <row r="49" spans="2:17">
      <c r="D49" s="107" t="s">
        <v>4</v>
      </c>
      <c r="J49" s="143">
        <f ca="1">IF(J$12=0,0,OFFSET(BS_Hist_TO!$I$49,0,TS_Data_Total_Pers))</f>
        <v>0</v>
      </c>
      <c r="K49" s="143">
        <f ca="1">IF(K$12=0,0,OFFSET(BS_Hist_TO!$I$49,0,TS_Data_Total_Pers))</f>
        <v>0</v>
      </c>
      <c r="L49" s="143">
        <f ca="1">IF(L$12=0,0,OFFSET(BS_Hist_TO!$I$49,0,TS_Data_Total_Pers))</f>
        <v>0</v>
      </c>
      <c r="M49" s="143">
        <f ca="1">IF(M$12=0,0,OFFSET(BS_Hist_TO!$I$49,0,TS_Data_Total_Pers))</f>
        <v>0</v>
      </c>
      <c r="N49" s="143">
        <f ca="1">IF(N$12=0,0,OFFSET(BS_Hist_TO!$I$49,0,TS_Data_Total_Pers))</f>
        <v>0</v>
      </c>
      <c r="O49" s="143">
        <f ca="1">IF(O$12=0,0,OFFSET(BS_Hist_TO!$I$49,0,TS_Data_Total_Pers))</f>
        <v>0</v>
      </c>
      <c r="P49" s="143">
        <f ca="1">IF(P$12=0,0,OFFSET(BS_Hist_TO!$I$49,0,TS_Data_Total_Pers))</f>
        <v>0</v>
      </c>
      <c r="Q49" s="143">
        <f ca="1">IF(Q$12=0,0,OFFSET(BS_Hist_TO!$I$49,0,TS_Data_Total_Pers))</f>
        <v>0</v>
      </c>
    </row>
    <row r="50" spans="2:17" s="15" customFormat="1">
      <c r="D50" s="5" t="str">
        <f>Fcast_TA!D138</f>
        <v>Other Non-Current Liabilities</v>
      </c>
      <c r="J50" s="94">
        <f>Fcast_OP_TO!J208</f>
        <v>0</v>
      </c>
      <c r="K50" s="94">
        <f>Fcast_OP_TO!K208</f>
        <v>0</v>
      </c>
      <c r="L50" s="94">
        <f>Fcast_OP_TO!L208</f>
        <v>0</v>
      </c>
      <c r="M50" s="94">
        <f>Fcast_OP_TO!M208</f>
        <v>9</v>
      </c>
      <c r="N50" s="94">
        <f>Fcast_OP_TO!N208</f>
        <v>10</v>
      </c>
      <c r="O50" s="94">
        <f>Fcast_OP_TO!O208</f>
        <v>11</v>
      </c>
      <c r="P50" s="94">
        <f>Fcast_OP_TO!P208</f>
        <v>12</v>
      </c>
      <c r="Q50" s="94">
        <f>Fcast_OP_TO!Q208</f>
        <v>13</v>
      </c>
    </row>
    <row r="51" spans="2:17">
      <c r="D51" s="136" t="str">
        <f>"Total "&amp;C46</f>
        <v>Total Non-Current Liabilities</v>
      </c>
      <c r="J51" s="127">
        <f ca="1">SUM(J48:J50)</f>
        <v>0</v>
      </c>
      <c r="K51" s="127">
        <f t="shared" ref="K51:Q51" ca="1" si="13">SUM(K48:K50)</f>
        <v>0</v>
      </c>
      <c r="L51" s="127">
        <f t="shared" ca="1" si="13"/>
        <v>0</v>
      </c>
      <c r="M51" s="127">
        <f t="shared" ca="1" si="13"/>
        <v>59</v>
      </c>
      <c r="N51" s="127">
        <f t="shared" ca="1" si="13"/>
        <v>65</v>
      </c>
      <c r="O51" s="127">
        <f t="shared" ca="1" si="13"/>
        <v>66</v>
      </c>
      <c r="P51" s="127">
        <f t="shared" ca="1" si="13"/>
        <v>67</v>
      </c>
      <c r="Q51" s="127">
        <f t="shared" ca="1" si="13"/>
        <v>68</v>
      </c>
    </row>
    <row r="52" spans="2:17">
      <c r="J52" s="94"/>
      <c r="K52" s="94"/>
      <c r="L52" s="94"/>
      <c r="M52" s="94"/>
      <c r="N52" s="94"/>
      <c r="O52" s="94"/>
      <c r="P52" s="94"/>
      <c r="Q52" s="94"/>
    </row>
    <row r="53" spans="2:17" ht="11.25">
      <c r="C53" s="93" t="s">
        <v>36</v>
      </c>
      <c r="J53" s="140">
        <f t="shared" ref="J53:Q53" ca="1" si="14">J44+J51</f>
        <v>0</v>
      </c>
      <c r="K53" s="140">
        <f t="shared" ca="1" si="14"/>
        <v>0</v>
      </c>
      <c r="L53" s="140">
        <f t="shared" ca="1" si="14"/>
        <v>0</v>
      </c>
      <c r="M53" s="140">
        <f t="shared" ca="1" si="14"/>
        <v>89.47558415293237</v>
      </c>
      <c r="N53" s="140">
        <f t="shared" ca="1" si="14"/>
        <v>97.013098756755682</v>
      </c>
      <c r="O53" s="140">
        <f t="shared" ca="1" si="14"/>
        <v>99.565269975674568</v>
      </c>
      <c r="P53" s="140">
        <f t="shared" ca="1" si="14"/>
        <v>102.15582233010218</v>
      </c>
      <c r="Q53" s="140">
        <f t="shared" ca="1" si="14"/>
        <v>104.81255708069308</v>
      </c>
    </row>
    <row r="54" spans="2:17">
      <c r="J54" s="94"/>
      <c r="K54" s="94"/>
      <c r="L54" s="94"/>
      <c r="M54" s="94"/>
      <c r="N54" s="94"/>
      <c r="O54" s="94"/>
      <c r="P54" s="94"/>
      <c r="Q54" s="94"/>
    </row>
    <row r="55" spans="2:17" ht="12" thickBot="1">
      <c r="C55" s="93" t="s">
        <v>37</v>
      </c>
      <c r="J55" s="139">
        <f t="shared" ref="J55:Q55" ca="1" si="15">J35-J53</f>
        <v>0</v>
      </c>
      <c r="K55" s="139">
        <f t="shared" ca="1" si="15"/>
        <v>0</v>
      </c>
      <c r="L55" s="139">
        <f t="shared" ca="1" si="15"/>
        <v>0</v>
      </c>
      <c r="M55" s="139">
        <f t="shared" ca="1" si="15"/>
        <v>142.95285297650906</v>
      </c>
      <c r="N55" s="139">
        <f t="shared" ca="1" si="15"/>
        <v>159.58157370160674</v>
      </c>
      <c r="O55" s="139">
        <f t="shared" ca="1" si="15"/>
        <v>176.59649681983186</v>
      </c>
      <c r="P55" s="139">
        <f t="shared" ca="1" si="15"/>
        <v>194.06557426601262</v>
      </c>
      <c r="Q55" s="139">
        <f t="shared" ca="1" si="15"/>
        <v>212.00015989834787</v>
      </c>
    </row>
    <row r="56" spans="2:17" ht="11.25" thickTop="1">
      <c r="B56" s="15"/>
      <c r="C56" s="15"/>
      <c r="D56" s="15"/>
      <c r="J56" s="94"/>
      <c r="K56" s="94"/>
      <c r="L56" s="94"/>
      <c r="M56" s="94"/>
      <c r="N56" s="94"/>
      <c r="O56" s="94"/>
      <c r="P56" s="94"/>
      <c r="Q56" s="94"/>
    </row>
    <row r="57" spans="2:17" ht="11.25">
      <c r="C57" s="93" t="s">
        <v>38</v>
      </c>
      <c r="J57" s="94"/>
      <c r="K57" s="94"/>
      <c r="L57" s="94"/>
      <c r="M57" s="94"/>
      <c r="N57" s="94"/>
      <c r="O57" s="94"/>
      <c r="P57" s="94"/>
      <c r="Q57" s="94"/>
    </row>
    <row r="58" spans="2:17">
      <c r="J58" s="94"/>
      <c r="K58" s="94"/>
      <c r="L58" s="94"/>
      <c r="M58" s="94"/>
      <c r="N58" s="94"/>
      <c r="O58" s="94"/>
      <c r="P58" s="94"/>
      <c r="Q58" s="94"/>
    </row>
    <row r="59" spans="2:17">
      <c r="D59" s="107" t="s">
        <v>271</v>
      </c>
      <c r="J59" s="94">
        <f>Fcast_OP_TO!J124</f>
        <v>0</v>
      </c>
      <c r="K59" s="94">
        <f>Fcast_OP_TO!K124</f>
        <v>0</v>
      </c>
      <c r="L59" s="94">
        <f>Fcast_OP_TO!L124</f>
        <v>0</v>
      </c>
      <c r="M59" s="94">
        <f ca="1">Fcast_OP_TO!M124</f>
        <v>75</v>
      </c>
      <c r="N59" s="94">
        <f ca="1">Fcast_OP_TO!N124</f>
        <v>75</v>
      </c>
      <c r="O59" s="94">
        <f ca="1">Fcast_OP_TO!O124</f>
        <v>75</v>
      </c>
      <c r="P59" s="94">
        <f ca="1">Fcast_OP_TO!P124</f>
        <v>75</v>
      </c>
      <c r="Q59" s="94">
        <f ca="1">Fcast_OP_TO!Q124</f>
        <v>75</v>
      </c>
    </row>
    <row r="60" spans="2:17" s="15" customFormat="1">
      <c r="D60" s="170" t="s">
        <v>556</v>
      </c>
      <c r="J60" s="94">
        <f>Fcast_OP_TO!J214</f>
        <v>0</v>
      </c>
      <c r="K60" s="94">
        <f>Fcast_OP_TO!K214</f>
        <v>0</v>
      </c>
      <c r="L60" s="94">
        <f>Fcast_OP_TO!L214</f>
        <v>0</v>
      </c>
      <c r="M60" s="94">
        <f>Fcast_OP_TO!M214</f>
        <v>5.3999999999999986</v>
      </c>
      <c r="N60" s="94">
        <f>Fcast_OP_TO!N214</f>
        <v>5.4999999999999982</v>
      </c>
      <c r="O60" s="94">
        <f>Fcast_OP_TO!O214</f>
        <v>5.5999999999999979</v>
      </c>
      <c r="P60" s="94">
        <f>Fcast_OP_TO!P214</f>
        <v>5.6999999999999975</v>
      </c>
      <c r="Q60" s="94">
        <f>Fcast_OP_TO!Q214</f>
        <v>5.7999999999999972</v>
      </c>
    </row>
    <row r="61" spans="2:17" hidden="1" outlineLevel="2">
      <c r="E61" s="170" t="s">
        <v>245</v>
      </c>
      <c r="J61" s="94">
        <f>IF(J$12=0,0,IF(J$12=TS_Data_Full_Pers+1,Fcast_TA!$I$131,I64))</f>
        <v>0</v>
      </c>
      <c r="K61" s="94">
        <f>IF(K$12=0,0,IF(K$12=TS_Data_Full_Pers+1,Fcast_TA!$I$131,J64))</f>
        <v>0</v>
      </c>
      <c r="L61" s="94">
        <f>IF(L$12=0,0,IF(L$12=TS_Data_Full_Pers+1,Fcast_TA!$I$131,K64))</f>
        <v>0</v>
      </c>
      <c r="M61" s="94">
        <f ca="1">IF(M$12=0,0,IF(M$12=TS_Data_Full_Pers+1,Fcast_TA!$I$131,L64))</f>
        <v>46.399527878852751</v>
      </c>
      <c r="N61" s="94">
        <f ca="1">IF(N$12=0,0,IF(N$12=TS_Data_Full_Pers+1,Fcast_TA!$I$131,M64))</f>
        <v>62.552852976509001</v>
      </c>
      <c r="O61" s="94">
        <f ca="1">IF(O$12=0,0,IF(O$12=TS_Data_Full_Pers+1,Fcast_TA!$I$131,N64))</f>
        <v>79.081573701606658</v>
      </c>
      <c r="P61" s="94">
        <f ca="1">IF(P$12=0,0,IF(P$12=TS_Data_Full_Pers+1,Fcast_TA!$I$131,O64))</f>
        <v>95.996496819831762</v>
      </c>
      <c r="Q61" s="94">
        <f ca="1">IF(Q$12=0,0,IF(Q$12=TS_Data_Full_Pers+1,Fcast_TA!$I$131,P64))</f>
        <v>113.3655742660125</v>
      </c>
    </row>
    <row r="62" spans="2:17" hidden="1" outlineLevel="2">
      <c r="E62" s="107" t="s">
        <v>43</v>
      </c>
      <c r="J62" s="143">
        <f>IS_Fcast_TO!J39</f>
        <v>0</v>
      </c>
      <c r="K62" s="143">
        <f>IS_Fcast_TO!K39</f>
        <v>0</v>
      </c>
      <c r="L62" s="143">
        <f>IS_Fcast_TO!L39</f>
        <v>0</v>
      </c>
      <c r="M62" s="143">
        <f ca="1">IS_Fcast_TO!M39</f>
        <v>32.306650195312507</v>
      </c>
      <c r="N62" s="143">
        <f ca="1">IS_Fcast_TO!N39</f>
        <v>33.057441450195327</v>
      </c>
      <c r="O62" s="143">
        <f ca="1">IS_Fcast_TO!O39</f>
        <v>33.829846236450202</v>
      </c>
      <c r="P62" s="143">
        <f ca="1">IS_Fcast_TO!P39</f>
        <v>34.73815489236145</v>
      </c>
      <c r="Q62" s="143">
        <f ca="1">IS_Fcast_TO!Q39</f>
        <v>35.669171264670474</v>
      </c>
    </row>
    <row r="63" spans="2:17" hidden="1" outlineLevel="2">
      <c r="E63" s="107" t="s">
        <v>44</v>
      </c>
      <c r="J63" s="176">
        <f>-Fcast_OP_TO!J129</f>
        <v>0</v>
      </c>
      <c r="K63" s="176">
        <f>-Fcast_OP_TO!K129</f>
        <v>0</v>
      </c>
      <c r="L63" s="176">
        <f>-Fcast_OP_TO!L129</f>
        <v>0</v>
      </c>
      <c r="M63" s="176">
        <f ca="1">-Fcast_OP_TO!M129</f>
        <v>-16.153325097656253</v>
      </c>
      <c r="N63" s="176">
        <f ca="1">-Fcast_OP_TO!N129</f>
        <v>-16.528720725097664</v>
      </c>
      <c r="O63" s="176">
        <f ca="1">-Fcast_OP_TO!O129</f>
        <v>-16.914923118225101</v>
      </c>
      <c r="P63" s="176">
        <f ca="1">-Fcast_OP_TO!P129</f>
        <v>-17.369077446180725</v>
      </c>
      <c r="Q63" s="176">
        <f ca="1">-Fcast_OP_TO!Q129</f>
        <v>-17.834585632335237</v>
      </c>
    </row>
    <row r="64" spans="2:17" collapsed="1">
      <c r="D64" s="167" t="s">
        <v>39</v>
      </c>
      <c r="J64" s="143">
        <f>SUM(J61:J63)</f>
        <v>0</v>
      </c>
      <c r="K64" s="143">
        <f t="shared" ref="K64:Q64" si="16">SUM(K61:K63)</f>
        <v>0</v>
      </c>
      <c r="L64" s="143">
        <f t="shared" si="16"/>
        <v>0</v>
      </c>
      <c r="M64" s="143">
        <f t="shared" ca="1" si="16"/>
        <v>62.552852976509001</v>
      </c>
      <c r="N64" s="143">
        <f t="shared" ca="1" si="16"/>
        <v>79.081573701606658</v>
      </c>
      <c r="O64" s="143">
        <f t="shared" ca="1" si="16"/>
        <v>95.996496819831762</v>
      </c>
      <c r="P64" s="143">
        <f t="shared" ca="1" si="16"/>
        <v>113.3655742660125</v>
      </c>
      <c r="Q64" s="143">
        <f t="shared" ca="1" si="16"/>
        <v>131.20015989834775</v>
      </c>
    </row>
    <row r="65" spans="3:17">
      <c r="J65" s="94"/>
      <c r="K65" s="94"/>
      <c r="L65" s="94"/>
      <c r="M65" s="94"/>
      <c r="N65" s="94"/>
      <c r="O65" s="94"/>
      <c r="P65" s="94"/>
      <c r="Q65" s="94"/>
    </row>
    <row r="66" spans="3:17" ht="12" thickBot="1">
      <c r="C66" s="125" t="str">
        <f>"Total "&amp;C57</f>
        <v>Total Equity</v>
      </c>
      <c r="J66" s="139">
        <f>J59+J60+J64</f>
        <v>0</v>
      </c>
      <c r="K66" s="139">
        <f t="shared" ref="K66:Q66" si="17">K59+K60+K64</f>
        <v>0</v>
      </c>
      <c r="L66" s="139">
        <f t="shared" si="17"/>
        <v>0</v>
      </c>
      <c r="M66" s="139">
        <f t="shared" ca="1" si="17"/>
        <v>142.95285297650901</v>
      </c>
      <c r="N66" s="139">
        <f t="shared" ca="1" si="17"/>
        <v>159.58157370160666</v>
      </c>
      <c r="O66" s="139">
        <f t="shared" ca="1" si="17"/>
        <v>176.59649681983177</v>
      </c>
      <c r="P66" s="139">
        <f t="shared" ca="1" si="17"/>
        <v>194.0655742660125</v>
      </c>
      <c r="Q66" s="139">
        <f t="shared" ca="1" si="17"/>
        <v>212.00015989834776</v>
      </c>
    </row>
    <row r="67" spans="3:17" ht="11.25" thickTop="1">
      <c r="J67" s="175"/>
      <c r="K67" s="175"/>
      <c r="L67" s="175"/>
      <c r="M67" s="175"/>
      <c r="N67" s="175"/>
      <c r="O67" s="175"/>
      <c r="P67" s="175"/>
      <c r="Q67" s="175"/>
    </row>
    <row r="68" spans="3:17" hidden="1" outlineLevel="2">
      <c r="D68" s="170" t="s">
        <v>563</v>
      </c>
      <c r="J68" s="141">
        <f t="shared" ref="J68:Q68" ca="1" si="18">IF(ISERROR(J55-J66),1,0)</f>
        <v>0</v>
      </c>
      <c r="K68" s="141">
        <f t="shared" ca="1" si="18"/>
        <v>0</v>
      </c>
      <c r="L68" s="141">
        <f t="shared" ca="1" si="18"/>
        <v>0</v>
      </c>
      <c r="M68" s="141">
        <f t="shared" ca="1" si="18"/>
        <v>0</v>
      </c>
      <c r="N68" s="141">
        <f t="shared" ca="1" si="18"/>
        <v>0</v>
      </c>
      <c r="O68" s="141">
        <f t="shared" ca="1" si="18"/>
        <v>0</v>
      </c>
      <c r="P68" s="141">
        <f t="shared" ca="1" si="18"/>
        <v>0</v>
      </c>
      <c r="Q68" s="141">
        <f t="shared" ca="1" si="18"/>
        <v>0</v>
      </c>
    </row>
    <row r="69" spans="3:17" hidden="1" outlineLevel="2">
      <c r="D69" s="170" t="s">
        <v>564</v>
      </c>
      <c r="J69" s="124">
        <f t="shared" ref="J69:Q69" ca="1" si="19">IF(J68&lt;&gt;0,0,(ROUND(J55-J66,5)&lt;&gt;0)*1)</f>
        <v>0</v>
      </c>
      <c r="K69" s="124">
        <f t="shared" ca="1" si="19"/>
        <v>0</v>
      </c>
      <c r="L69" s="124">
        <f t="shared" ca="1" si="19"/>
        <v>0</v>
      </c>
      <c r="M69" s="124">
        <f t="shared" ca="1" si="19"/>
        <v>0</v>
      </c>
      <c r="N69" s="124">
        <f t="shared" ca="1" si="19"/>
        <v>0</v>
      </c>
      <c r="O69" s="124">
        <f t="shared" ca="1" si="19"/>
        <v>0</v>
      </c>
      <c r="P69" s="124">
        <f t="shared" ca="1" si="19"/>
        <v>0</v>
      </c>
      <c r="Q69" s="124">
        <f t="shared" ca="1" si="19"/>
        <v>0</v>
      </c>
    </row>
    <row r="70" spans="3:17" collapsed="1">
      <c r="C70" s="167" t="s">
        <v>414</v>
      </c>
      <c r="I70" s="98">
        <f ca="1">IF(ISERROR(SUM(J70:Q70)),0,MIN(SUM(J70:Q70),1))</f>
        <v>0</v>
      </c>
      <c r="J70" s="95">
        <f t="shared" ref="J70:Q70" ca="1" si="20">MIN(SUM(J68:J69),1)</f>
        <v>0</v>
      </c>
      <c r="K70" s="95">
        <f t="shared" ca="1" si="20"/>
        <v>0</v>
      </c>
      <c r="L70" s="95">
        <f t="shared" ca="1" si="20"/>
        <v>0</v>
      </c>
      <c r="M70" s="95">
        <f t="shared" ca="1" si="20"/>
        <v>0</v>
      </c>
      <c r="N70" s="95">
        <f t="shared" ca="1" si="20"/>
        <v>0</v>
      </c>
      <c r="O70" s="95">
        <f t="shared" ca="1" si="20"/>
        <v>0</v>
      </c>
      <c r="P70" s="95">
        <f t="shared" ca="1" si="20"/>
        <v>0</v>
      </c>
      <c r="Q70" s="95">
        <f t="shared" ca="1" si="20"/>
        <v>0</v>
      </c>
    </row>
    <row r="71" spans="3:17" hidden="1" outlineLevel="2"/>
    <row r="72" spans="3:17" collapsed="1">
      <c r="C72" s="167" t="s">
        <v>419</v>
      </c>
      <c r="I72" s="98">
        <f ca="1">IF(ISERROR(SUM(J72:Q72)),0,MIN(SUM(J72:Q72),1))</f>
        <v>0</v>
      </c>
      <c r="J72" s="95">
        <f t="shared" ref="J72:Q72" si="21">IF(ISERROR(J22),0,(J22&lt;0)*1)</f>
        <v>0</v>
      </c>
      <c r="K72" s="95">
        <f t="shared" si="21"/>
        <v>0</v>
      </c>
      <c r="L72" s="95">
        <f t="shared" si="21"/>
        <v>0</v>
      </c>
      <c r="M72" s="95">
        <f t="shared" ca="1" si="21"/>
        <v>0</v>
      </c>
      <c r="N72" s="95">
        <f t="shared" ca="1" si="21"/>
        <v>0</v>
      </c>
      <c r="O72" s="95">
        <f t="shared" ca="1" si="21"/>
        <v>0</v>
      </c>
      <c r="P72" s="95">
        <f t="shared" ca="1" si="21"/>
        <v>0</v>
      </c>
      <c r="Q72" s="95">
        <f t="shared" ca="1" si="21"/>
        <v>0</v>
      </c>
    </row>
    <row r="74" spans="3:17" s="15" customFormat="1">
      <c r="C74" s="171" t="s">
        <v>203</v>
      </c>
      <c r="J74" s="175"/>
      <c r="K74" s="175"/>
      <c r="L74" s="175"/>
      <c r="M74" s="175"/>
      <c r="N74" s="175"/>
      <c r="O74" s="175"/>
      <c r="P74" s="175"/>
      <c r="Q74" s="175"/>
    </row>
    <row r="75" spans="3:17" s="15" customFormat="1">
      <c r="C75" s="138">
        <v>1</v>
      </c>
      <c r="D75" s="214" t="str">
        <f>"All balances are specified in "&amp;INDEX(LU_Denom,DD_TS_Denom)&amp;"."</f>
        <v>All balances are specified in $Millions.</v>
      </c>
    </row>
    <row r="76" spans="3:17" s="15" customFormat="1"/>
    <row r="77" spans="3:17">
      <c r="C77" s="106" t="str">
        <f>"Go to "&amp;Err_Chk_11_Hdg</f>
        <v>Go to Income Statement - Forecast Outputs</v>
      </c>
      <c r="D77" s="8"/>
      <c r="E77" s="8"/>
      <c r="F77" s="8"/>
      <c r="G77" s="8"/>
      <c r="H77" s="8"/>
      <c r="I77" s="8"/>
    </row>
    <row r="78" spans="3:17">
      <c r="C78" s="106" t="str">
        <f>"Go to "&amp;Err_Chk_14_Hdg</f>
        <v>Go to Cash Flow Statement - Forecast Outputs</v>
      </c>
      <c r="D78" s="8"/>
      <c r="E78" s="8"/>
      <c r="F78" s="8"/>
      <c r="G78" s="8"/>
      <c r="H78" s="8"/>
    </row>
  </sheetData>
  <mergeCells count="1">
    <mergeCell ref="B3:F3"/>
  </mergeCells>
  <conditionalFormatting sqref="J68:Q70 I70 I72:Q72">
    <cfRule type="cellIs" dxfId="54" priority="2" stopIfTrue="1" operator="notEqual">
      <formula>0</formula>
    </cfRule>
  </conditionalFormatting>
  <conditionalFormatting sqref="C70 C72">
    <cfRule type="expression" dxfId="53" priority="1" stopIfTrue="1">
      <formula>I70&lt;&gt;0</formula>
    </cfRule>
  </conditionalFormatting>
  <hyperlinks>
    <hyperlink ref="C77:I77" location="HL_Sheet_Main_35" tooltip="Go to Income Statement" display="HL_Sheet_Main_35"/>
    <hyperlink ref="C78:H78" location="HL_Sheet_Main_37" tooltip="Go to Cash Flow Statement" display="HL_Sheet_Main_37"/>
    <hyperlink ref="B3" location="HL_Home" tooltip="Go to Table of Contents" display="HL_Home"/>
    <hyperlink ref="A4" location="$B$14" tooltip="Go to Top of Sheet" display="$B$14"/>
    <hyperlink ref="B4" location="HL_Sheet_Main_35" tooltip="Go to Previous Sheet" display="HL_Sheet_Main_35"/>
    <hyperlink ref="C4" location="HL_Sheet_Main_37" tooltip="Go to Next Sheet" display="HL_Sheet_Main_37"/>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rowBreaks count="1" manualBreakCount="1">
    <brk id="45" min="1" max="16" man="1"/>
  </rowBreaks>
  <legacyDrawing r:id="rId2"/>
  <legacyDrawingHF r:id="rId3"/>
</worksheet>
</file>

<file path=xl/worksheets/sheet26.xml><?xml version="1.0" encoding="utf-8"?>
<worksheet xmlns="http://schemas.openxmlformats.org/spreadsheetml/2006/main" xmlns:r="http://schemas.openxmlformats.org/officeDocument/2006/relationships">
  <sheetPr codeName="Sheet28">
    <pageSetUpPr autoPageBreaks="0"/>
  </sheetPr>
  <dimension ref="A1:Q120"/>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2.83203125" defaultRowHeight="10.5" outlineLevelRow="2"/>
  <cols>
    <col min="1" max="5" width="3.83203125" customWidth="1"/>
    <col min="10" max="12" width="12.83203125" customWidth="1"/>
    <col min="13" max="13" width="12.83203125" collapsed="1"/>
  </cols>
  <sheetData>
    <row r="1" spans="1:17" ht="18">
      <c r="B1" s="1" t="s">
        <v>544</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s="15" customFormat="1">
      <c r="B6" s="83" t="str">
        <f>IF(TS_Data_Final_Stub,"Period End Date",IF(TS_Pers_In_Yr=1,"",TS_Per_Type_Name&amp;" Ending"))</f>
        <v/>
      </c>
      <c r="J6" s="208" t="str">
        <f t="shared" ref="J6:Q6" si="0">IF(J12=0,IF(TS_Data_Final_Stub,"- ",IF(TS_Pers_In_Yr=1,"",0)),IF(TS_Data_Final_Stub,J9,IF(TS_Pers_In_Yr=1,"",LEFT(INDEX(LU_Mth_Names,MONTH(J9)),3)&amp;"-"&amp;RIGHT(YEAR(J9),2))&amp;" "))</f>
        <v/>
      </c>
      <c r="K6" s="208" t="str">
        <f t="shared" si="0"/>
        <v/>
      </c>
      <c r="L6" s="208" t="str">
        <f t="shared" si="0"/>
        <v/>
      </c>
      <c r="M6" s="208" t="str">
        <f t="shared" si="0"/>
        <v xml:space="preserve"> </v>
      </c>
      <c r="N6" s="208" t="str">
        <f t="shared" si="0"/>
        <v xml:space="preserve"> </v>
      </c>
      <c r="O6" s="208" t="str">
        <f t="shared" si="0"/>
        <v xml:space="preserve"> </v>
      </c>
      <c r="P6" s="208" t="str">
        <f t="shared" si="0"/>
        <v xml:space="preserve"> </v>
      </c>
      <c r="Q6" s="208" t="str">
        <f t="shared" si="0"/>
        <v xml:space="preserve"> </v>
      </c>
    </row>
    <row r="7" spans="1:17" s="15" customFormat="1">
      <c r="B7" s="89" t="str">
        <f>IF(TS_Data_Final_Stub,"Period Title",IF(TS_Pers_In_Yr=1,Yr_Name&amp;" Ending "&amp;DAY(TS_Per_1_End_Date)&amp;" "&amp;INDEX(LU_Mth_Names,DD_TS_Fin_YE_Mth),TS_Per_Type_Name))</f>
        <v>Year Ending 31 December</v>
      </c>
      <c r="C7" s="17"/>
      <c r="D7" s="17"/>
      <c r="E7" s="17"/>
      <c r="F7" s="17"/>
      <c r="G7" s="17"/>
      <c r="H7" s="17"/>
      <c r="I7" s="17"/>
      <c r="J7" s="90" t="str">
        <f t="shared" ref="J7:Q7" si="1">IF(J12=0," - ",
IF(TS_Pers_In_Yr=1,J10&amp;" ",J11)&amp;IF(CB_TS_Show_Hist_Fcast_Pers,IF(J12&lt;=TS_Actual_Pers,TS_Actual_Per_Title,
IF(J12&lt;=TS_Actual_Pers+TS_Budget_Pers,TS_Budget_Per_Title,TS_Fcast_Per_Title))&amp;" ",""))</f>
        <v xml:space="preserve"> - </v>
      </c>
      <c r="K7" s="90" t="str">
        <f t="shared" si="1"/>
        <v xml:space="preserve"> - </v>
      </c>
      <c r="L7" s="90" t="str">
        <f t="shared" si="1"/>
        <v xml:space="preserve"> -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s="15" customFormat="1" hidden="1" outlineLevel="2">
      <c r="B8" s="258" t="s">
        <v>221</v>
      </c>
      <c r="J8" s="85">
        <f t="shared" ref="J8:Q8" si="2">IF(J12=0,0,IF(J12=TS_Data_Full_Pers+1,TS_Proj_Start_Date,I9+1))</f>
        <v>0</v>
      </c>
      <c r="K8" s="85">
        <f t="shared" si="2"/>
        <v>0</v>
      </c>
      <c r="L8" s="85">
        <f t="shared" si="2"/>
        <v>0</v>
      </c>
      <c r="M8" s="85">
        <f t="shared" si="2"/>
        <v>41275</v>
      </c>
      <c r="N8" s="85">
        <f t="shared" si="2"/>
        <v>41640</v>
      </c>
      <c r="O8" s="85">
        <f t="shared" si="2"/>
        <v>42005</v>
      </c>
      <c r="P8" s="85">
        <f t="shared" si="2"/>
        <v>42370</v>
      </c>
      <c r="Q8" s="85">
        <f t="shared" si="2"/>
        <v>42736</v>
      </c>
    </row>
    <row r="9" spans="1:17" s="15" customFormat="1" hidden="1" outlineLevel="2">
      <c r="B9" s="258" t="s">
        <v>222</v>
      </c>
      <c r="J9" s="85">
        <f t="shared" ref="J9:Q9" si="3">IF(J12=0,0,IF(J12=TS_Data_Full_Pers+1,TS_Proj_Per_1_End_Date,
IF(TS_Mth_End,EOMONTH(EDATE(TS_Proj_Per_1_FY_Start_Date,(TS_Proj_Per_1_Number+J12-(TS_Data_Full_Pers+1))*TS_Mths_In_Per-1),0),
EDATE(TS_Proj_Per_1_FY_Start_Date,(TS_Proj_Per_1_Number+J12-(TS_Data_Full_Pers+1))*TS_Mths_In_Per)-1)))</f>
        <v>0</v>
      </c>
      <c r="K9" s="85">
        <f t="shared" si="3"/>
        <v>0</v>
      </c>
      <c r="L9" s="85">
        <f t="shared" si="3"/>
        <v>0</v>
      </c>
      <c r="M9" s="85">
        <f t="shared" si="3"/>
        <v>41639</v>
      </c>
      <c r="N9" s="85">
        <f t="shared" si="3"/>
        <v>42004</v>
      </c>
      <c r="O9" s="85">
        <f t="shared" si="3"/>
        <v>42369</v>
      </c>
      <c r="P9" s="85">
        <f t="shared" si="3"/>
        <v>42735</v>
      </c>
      <c r="Q9" s="85">
        <f t="shared" si="3"/>
        <v>43100</v>
      </c>
    </row>
    <row r="10" spans="1:17" s="15" customFormat="1" hidden="1" outlineLevel="2">
      <c r="B10" s="258" t="s">
        <v>219</v>
      </c>
      <c r="J10" s="209">
        <f t="shared" ref="J10:Q10" si="4">IF(J12=0,0,YEAR(TS_Proj_Per_1_FY_End_Date)+INT((TS_Proj_Per_1_Number+J12-TS_Data_Full_Pers-2)/TS_Pers_In_Yr))</f>
        <v>0</v>
      </c>
      <c r="K10" s="209">
        <f t="shared" si="4"/>
        <v>0</v>
      </c>
      <c r="L10" s="209">
        <f t="shared" si="4"/>
        <v>0</v>
      </c>
      <c r="M10" s="209">
        <f t="shared" si="4"/>
        <v>2013</v>
      </c>
      <c r="N10" s="209">
        <f t="shared" si="4"/>
        <v>2014</v>
      </c>
      <c r="O10" s="209">
        <f t="shared" si="4"/>
        <v>2015</v>
      </c>
      <c r="P10" s="209">
        <f t="shared" si="4"/>
        <v>2016</v>
      </c>
      <c r="Q10" s="209">
        <f t="shared" si="4"/>
        <v>2017</v>
      </c>
    </row>
    <row r="11" spans="1:17" s="15" customFormat="1" hidden="1" outlineLevel="2">
      <c r="B11" s="258" t="s">
        <v>220</v>
      </c>
      <c r="J11" s="87" t="str">
        <f t="shared" ref="J11:Q11" si="5">IF(J12=0,"-",IF(TS_Pers_In_Yr=1,Yr_Name,TS_Per_Type_Prefix&amp;IF(MOD(TS_Per_1_Number+J12-1,TS_Pers_In_Yr)=0,TS_Pers_In_Yr,MOD(TS_Per_1_Number+J12-1,TS_Pers_In_Yr))))&amp;" "</f>
        <v xml:space="preserve">- </v>
      </c>
      <c r="K11" s="87" t="str">
        <f t="shared" si="5"/>
        <v xml:space="preserve">- </v>
      </c>
      <c r="L11" s="87" t="str">
        <f t="shared" si="5"/>
        <v xml:space="preserve">-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s="15" customFormat="1" hidden="1" outlineLevel="2">
      <c r="B12" s="258" t="s">
        <v>223</v>
      </c>
      <c r="J12" s="88">
        <f t="shared" ref="J12:Q12" si="6">IF(COLUMN(J12)-COLUMN($J12)+1&lt;TS_Data_Full_Pers+1,0,COLUMN(J12)-COLUMN($J12)+1)</f>
        <v>0</v>
      </c>
      <c r="K12" s="88">
        <f t="shared" si="6"/>
        <v>0</v>
      </c>
      <c r="L12" s="88">
        <f t="shared" si="6"/>
        <v>0</v>
      </c>
      <c r="M12" s="88">
        <f t="shared" si="6"/>
        <v>4</v>
      </c>
      <c r="N12" s="88">
        <f t="shared" si="6"/>
        <v>5</v>
      </c>
      <c r="O12" s="88">
        <f t="shared" si="6"/>
        <v>6</v>
      </c>
      <c r="P12" s="88">
        <f t="shared" si="6"/>
        <v>7</v>
      </c>
      <c r="Q12" s="88">
        <f t="shared" si="6"/>
        <v>8</v>
      </c>
    </row>
    <row r="13" spans="1:17" s="15" customFormat="1" hidden="1" outlineLevel="2">
      <c r="B13" s="91" t="s">
        <v>387</v>
      </c>
      <c r="C13" s="17"/>
      <c r="D13" s="17"/>
      <c r="E13" s="17"/>
      <c r="F13" s="17"/>
      <c r="G13" s="17"/>
      <c r="H13" s="17"/>
      <c r="I13" s="17"/>
      <c r="J13" s="210" t="str">
        <f>IF(J12=0,"- ",J10&amp;"-"&amp;J11)</f>
        <v xml:space="preserve">- </v>
      </c>
      <c r="K13" s="210" t="str">
        <f t="shared" ref="K13:Q13" si="7">IF(K12=0,"- ",K10&amp;"-"&amp;K11)</f>
        <v xml:space="preserve">- </v>
      </c>
      <c r="L13" s="210" t="str">
        <f t="shared" si="7"/>
        <v xml:space="preserve">- </v>
      </c>
      <c r="M13" s="210" t="str">
        <f t="shared" si="7"/>
        <v xml:space="preserve">2013-Year </v>
      </c>
      <c r="N13" s="210" t="str">
        <f t="shared" si="7"/>
        <v xml:space="preserve">2014-Year </v>
      </c>
      <c r="O13" s="210" t="str">
        <f t="shared" si="7"/>
        <v xml:space="preserve">2015-Year </v>
      </c>
      <c r="P13" s="210" t="str">
        <f t="shared" si="7"/>
        <v xml:space="preserve">2016-Year </v>
      </c>
      <c r="Q13" s="210" t="str">
        <f t="shared" si="7"/>
        <v xml:space="preserve">2017-Year </v>
      </c>
    </row>
    <row r="14" spans="1:17" s="15" customFormat="1" collapsed="1"/>
    <row r="16" spans="1:17" ht="12.75">
      <c r="B16" s="119" t="s">
        <v>424</v>
      </c>
    </row>
    <row r="18" spans="3:17" ht="11.25">
      <c r="C18" s="93" t="s">
        <v>15</v>
      </c>
    </row>
    <row r="20" spans="3:17" hidden="1" outlineLevel="2">
      <c r="E20" s="5" t="str">
        <f>Fcast_OP_TO!C18</f>
        <v>Revenue</v>
      </c>
      <c r="J20" s="94">
        <f>Fcast_OP_TO!J18</f>
        <v>0</v>
      </c>
      <c r="K20" s="94">
        <f>Fcast_OP_TO!K18</f>
        <v>0</v>
      </c>
      <c r="L20" s="94">
        <f>Fcast_OP_TO!L18</f>
        <v>0</v>
      </c>
      <c r="M20" s="94">
        <f>Fcast_OP_TO!M18</f>
        <v>134.611328125</v>
      </c>
      <c r="N20" s="94">
        <f>Fcast_OP_TO!N18</f>
        <v>137.97661132812499</v>
      </c>
      <c r="O20" s="94">
        <f>Fcast_OP_TO!O18</f>
        <v>141.4260266113281</v>
      </c>
      <c r="P20" s="94">
        <f>Fcast_OP_TO!P18</f>
        <v>144.96167727661128</v>
      </c>
      <c r="Q20" s="94">
        <f>Fcast_OP_TO!Q18</f>
        <v>148.58571920852654</v>
      </c>
    </row>
    <row r="21" spans="3:17" hidden="1" outlineLevel="2">
      <c r="E21" s="107" t="s">
        <v>420</v>
      </c>
      <c r="J21" s="122">
        <f>-Fcast_OP_TO!J32</f>
        <v>0</v>
      </c>
      <c r="K21" s="122">
        <f>-Fcast_OP_TO!K32</f>
        <v>0</v>
      </c>
      <c r="L21" s="122">
        <f>-Fcast_OP_TO!L32</f>
        <v>0</v>
      </c>
      <c r="M21" s="122">
        <f ca="1">-Fcast_OP_TO!M32</f>
        <v>-0.29934436756118998</v>
      </c>
      <c r="N21" s="122">
        <f>-Fcast_OP_TO!N32</f>
        <v>-0.27659861943493524</v>
      </c>
      <c r="O21" s="122">
        <f>-Fcast_OP_TO!O32</f>
        <v>-0.28351358492079726</v>
      </c>
      <c r="P21" s="122">
        <f>-Fcast_OP_TO!P32</f>
        <v>-0.25804771305121221</v>
      </c>
      <c r="Q21" s="122">
        <f>-Fcast_OP_TO!Q32</f>
        <v>-0.3304201716500188</v>
      </c>
    </row>
    <row r="22" spans="3:17" collapsed="1">
      <c r="D22" s="170" t="s">
        <v>238</v>
      </c>
      <c r="J22" s="94">
        <f>J20+J21</f>
        <v>0</v>
      </c>
      <c r="K22" s="94">
        <f t="shared" ref="K22:Q22" si="8">K20+K21</f>
        <v>0</v>
      </c>
      <c r="L22" s="94">
        <f t="shared" si="8"/>
        <v>0</v>
      </c>
      <c r="M22" s="94">
        <f t="shared" ca="1" si="8"/>
        <v>134.31198375743881</v>
      </c>
      <c r="N22" s="94">
        <f t="shared" si="8"/>
        <v>137.70001270869005</v>
      </c>
      <c r="O22" s="94">
        <f t="shared" si="8"/>
        <v>141.1425130264073</v>
      </c>
      <c r="P22" s="94">
        <f t="shared" si="8"/>
        <v>144.70362956356007</v>
      </c>
      <c r="Q22" s="94">
        <f t="shared" si="8"/>
        <v>148.25529903687652</v>
      </c>
    </row>
    <row r="23" spans="3:17" hidden="1" outlineLevel="2">
      <c r="D23" s="5"/>
      <c r="E23" s="5" t="str">
        <f>Fcast_OP_TO!C19</f>
        <v>Cost of Goods Sold</v>
      </c>
      <c r="J23" s="94">
        <f>-Fcast_OP_TO!J19</f>
        <v>0</v>
      </c>
      <c r="K23" s="94">
        <f>-Fcast_OP_TO!K19</f>
        <v>0</v>
      </c>
      <c r="L23" s="94">
        <f>-Fcast_OP_TO!L19</f>
        <v>0</v>
      </c>
      <c r="M23" s="94">
        <f>-Fcast_OP_TO!M19</f>
        <v>-26.922265624999991</v>
      </c>
      <c r="N23" s="94">
        <f>-Fcast_OP_TO!N19</f>
        <v>-27.59532226562499</v>
      </c>
      <c r="O23" s="94">
        <f>-Fcast_OP_TO!O19</f>
        <v>-28.285205322265611</v>
      </c>
      <c r="P23" s="94">
        <f>-Fcast_OP_TO!P19</f>
        <v>-28.992335455322248</v>
      </c>
      <c r="Q23" s="94">
        <f>-Fcast_OP_TO!Q19</f>
        <v>-29.717143841705301</v>
      </c>
    </row>
    <row r="24" spans="3:17" s="15" customFormat="1" hidden="1" outlineLevel="2">
      <c r="D24" s="5"/>
      <c r="E24" s="5" t="str">
        <f>Fcast_OP_TO!C20</f>
        <v>Operating Expenditure</v>
      </c>
      <c r="J24" s="94">
        <f>-Fcast_OP_TO!J20</f>
        <v>0</v>
      </c>
      <c r="K24" s="94">
        <f>-Fcast_OP_TO!K20</f>
        <v>0</v>
      </c>
      <c r="L24" s="94">
        <f>-Fcast_OP_TO!L20</f>
        <v>0</v>
      </c>
      <c r="M24" s="94">
        <f>-Fcast_OP_TO!M20</f>
        <v>-43.075624999999995</v>
      </c>
      <c r="N24" s="94">
        <f>-Fcast_OP_TO!N20</f>
        <v>-44.152515624999992</v>
      </c>
      <c r="O24" s="94">
        <f>-Fcast_OP_TO!O20</f>
        <v>-45.256328515624986</v>
      </c>
      <c r="P24" s="94">
        <f>-Fcast_OP_TO!P20</f>
        <v>-46.387736728515605</v>
      </c>
      <c r="Q24" s="94">
        <f>-Fcast_OP_TO!Q20</f>
        <v>-47.547430146728495</v>
      </c>
    </row>
    <row r="25" spans="3:17" hidden="1" outlineLevel="2">
      <c r="D25" s="5"/>
      <c r="E25" s="107" t="s">
        <v>421</v>
      </c>
      <c r="J25" s="122">
        <f>Fcast_OP_TO!J49</f>
        <v>0</v>
      </c>
      <c r="K25" s="122">
        <f>Fcast_OP_TO!K49</f>
        <v>0</v>
      </c>
      <c r="L25" s="122">
        <f>Fcast_OP_TO!L49</f>
        <v>0</v>
      </c>
      <c r="M25" s="122">
        <f ca="1">Fcast_OP_TO!M49</f>
        <v>0.2334886066977333</v>
      </c>
      <c r="N25" s="122">
        <f>Fcast_OP_TO!N49</f>
        <v>0.21574692315924437</v>
      </c>
      <c r="O25" s="122">
        <f>Fcast_OP_TO!O49</f>
        <v>0.22114059623822868</v>
      </c>
      <c r="P25" s="122">
        <f>Fcast_OP_TO!P49</f>
        <v>0.20127721617994609</v>
      </c>
      <c r="Q25" s="122">
        <f>Fcast_OP_TO!Q49</f>
        <v>0.25772773388702319</v>
      </c>
    </row>
    <row r="26" spans="3:17" collapsed="1">
      <c r="D26" s="170" t="s">
        <v>243</v>
      </c>
      <c r="J26" s="94">
        <f>SUM(J23:J25)</f>
        <v>0</v>
      </c>
      <c r="K26" s="94">
        <f t="shared" ref="K26:Q26" si="9">SUM(K23:K25)</f>
        <v>0</v>
      </c>
      <c r="L26" s="94">
        <f t="shared" si="9"/>
        <v>0</v>
      </c>
      <c r="M26" s="94">
        <f t="shared" ca="1" si="9"/>
        <v>-69.764402018302249</v>
      </c>
      <c r="N26" s="94">
        <f t="shared" si="9"/>
        <v>-71.532090967465734</v>
      </c>
      <c r="O26" s="94">
        <f t="shared" si="9"/>
        <v>-73.320393241652368</v>
      </c>
      <c r="P26" s="94">
        <f t="shared" si="9"/>
        <v>-75.178794967657907</v>
      </c>
      <c r="Q26" s="94">
        <f t="shared" si="9"/>
        <v>-77.006846254546772</v>
      </c>
    </row>
    <row r="27" spans="3:17">
      <c r="D27" s="5" t="str">
        <f>Fcast_OP_TO!E114</f>
        <v>Interest Paid</v>
      </c>
      <c r="J27" s="94">
        <f>Fcast_OP_TO!J114</f>
        <v>0</v>
      </c>
      <c r="K27" s="94">
        <f>Fcast_OP_TO!K114</f>
        <v>0</v>
      </c>
      <c r="L27" s="94">
        <f>Fcast_OP_TO!L114</f>
        <v>0</v>
      </c>
      <c r="M27" s="94">
        <f ca="1">Fcast_OP_TO!M114</f>
        <v>-3.25</v>
      </c>
      <c r="N27" s="94">
        <f ca="1">Fcast_OP_TO!N114</f>
        <v>-3.4125000000000001</v>
      </c>
      <c r="O27" s="94">
        <f ca="1">Fcast_OP_TO!O114</f>
        <v>-3.5750000000000002</v>
      </c>
      <c r="P27" s="94">
        <f ca="1">Fcast_OP_TO!P114</f>
        <v>-3.5750000000000002</v>
      </c>
      <c r="Q27" s="94">
        <f ca="1">Fcast_OP_TO!Q114</f>
        <v>-3.5750000000000002</v>
      </c>
    </row>
    <row r="28" spans="3:17">
      <c r="D28" s="5" t="str">
        <f>Fcast_OP_TO!D180</f>
        <v>Tax Paid</v>
      </c>
      <c r="J28" s="94">
        <f>Fcast_OP_TO!J180</f>
        <v>0</v>
      </c>
      <c r="K28" s="94">
        <f>Fcast_OP_TO!K180</f>
        <v>0</v>
      </c>
      <c r="L28" s="94">
        <f>Fcast_OP_TO!L180</f>
        <v>0</v>
      </c>
      <c r="M28" s="94">
        <f ca="1">Fcast_OP_TO!M180</f>
        <v>-13.484226562500004</v>
      </c>
      <c r="N28" s="94">
        <f ca="1">Fcast_OP_TO!N180</f>
        <v>-13.845707226562503</v>
      </c>
      <c r="O28" s="94">
        <f ca="1">Fcast_OP_TO!O180</f>
        <v>-14.167474907226566</v>
      </c>
      <c r="P28" s="94">
        <f ca="1">Fcast_OP_TO!P180</f>
        <v>-14.498505529907227</v>
      </c>
      <c r="Q28" s="94">
        <f ca="1">Fcast_OP_TO!Q180</f>
        <v>-14.887780668154907</v>
      </c>
    </row>
    <row r="29" spans="3:17" s="15" customFormat="1">
      <c r="D29" s="170" t="s">
        <v>492</v>
      </c>
      <c r="J29" s="94">
        <f>-Fcast_OP_TO!J189</f>
        <v>0</v>
      </c>
      <c r="K29" s="94">
        <f>-Fcast_OP_TO!K189</f>
        <v>0</v>
      </c>
      <c r="L29" s="94">
        <f>-Fcast_OP_TO!L189</f>
        <v>0</v>
      </c>
      <c r="M29" s="94">
        <f ca="1">-Fcast_OP_TO!M189</f>
        <v>-1</v>
      </c>
      <c r="N29" s="94">
        <f>-Fcast_OP_TO!N189</f>
        <v>-1</v>
      </c>
      <c r="O29" s="94">
        <f>-Fcast_OP_TO!O189</f>
        <v>-1</v>
      </c>
      <c r="P29" s="94">
        <f>-Fcast_OP_TO!P189</f>
        <v>-1</v>
      </c>
      <c r="Q29" s="94">
        <f>-Fcast_OP_TO!Q189</f>
        <v>-1</v>
      </c>
    </row>
    <row r="30" spans="3:17" s="15" customFormat="1">
      <c r="D30" s="170" t="s">
        <v>493</v>
      </c>
      <c r="J30" s="94">
        <f>Fcast_OP_TO!J201</f>
        <v>0</v>
      </c>
      <c r="K30" s="94">
        <f>Fcast_OP_TO!K201</f>
        <v>0</v>
      </c>
      <c r="L30" s="94">
        <f>Fcast_OP_TO!L201</f>
        <v>0</v>
      </c>
      <c r="M30" s="94">
        <f ca="1">Fcast_OP_TO!M201</f>
        <v>1</v>
      </c>
      <c r="N30" s="94">
        <f>Fcast_OP_TO!N201</f>
        <v>1</v>
      </c>
      <c r="O30" s="94">
        <f>Fcast_OP_TO!O201</f>
        <v>1</v>
      </c>
      <c r="P30" s="94">
        <f>Fcast_OP_TO!P201</f>
        <v>1</v>
      </c>
      <c r="Q30" s="94">
        <f>Fcast_OP_TO!Q201</f>
        <v>1</v>
      </c>
    </row>
    <row r="31" spans="3:17">
      <c r="D31" s="136" t="str">
        <f>"Net "&amp;C18</f>
        <v>Net Cash Flow from Operating Activities</v>
      </c>
      <c r="J31" s="140">
        <f>J22+J26+SUM(J27:J30)</f>
        <v>0</v>
      </c>
      <c r="K31" s="140">
        <f t="shared" ref="K31:Q31" si="10">K22+K26+SUM(K27:K30)</f>
        <v>0</v>
      </c>
      <c r="L31" s="140">
        <f t="shared" si="10"/>
        <v>0</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c r="J32" s="94"/>
      <c r="K32" s="94"/>
      <c r="L32" s="94"/>
      <c r="M32" s="94"/>
      <c r="N32" s="94"/>
      <c r="O32" s="94"/>
      <c r="P32" s="94"/>
      <c r="Q32" s="94"/>
    </row>
    <row r="33" spans="3:17" ht="11.25">
      <c r="C33" s="93" t="s">
        <v>16</v>
      </c>
      <c r="J33" s="94"/>
      <c r="K33" s="94"/>
      <c r="L33" s="94"/>
      <c r="M33" s="94"/>
      <c r="N33" s="94"/>
      <c r="O33" s="94"/>
      <c r="P33" s="94"/>
      <c r="Q33" s="94"/>
    </row>
    <row r="34" spans="3:17">
      <c r="J34" s="94"/>
      <c r="K34" s="94"/>
      <c r="L34" s="94"/>
      <c r="M34" s="94"/>
      <c r="N34" s="94"/>
      <c r="O34" s="94"/>
      <c r="P34" s="94"/>
      <c r="Q34" s="94"/>
    </row>
    <row r="35" spans="3:17">
      <c r="D35" s="5" t="str">
        <f>Fcast_OP_TO!C21</f>
        <v>Capital Expenditure - Assets</v>
      </c>
      <c r="J35" s="94">
        <f>-Fcast_OP_TO!J21</f>
        <v>0</v>
      </c>
      <c r="K35" s="94">
        <f>-Fcast_OP_TO!K21</f>
        <v>0</v>
      </c>
      <c r="L35" s="94">
        <f>-Fcast_OP_TO!L21</f>
        <v>0</v>
      </c>
      <c r="M35" s="94">
        <f>-Fcast_OP_TO!M21</f>
        <v>-16.153359374999994</v>
      </c>
      <c r="N35" s="94">
        <f>-Fcast_OP_TO!N21</f>
        <v>-16.557193359374992</v>
      </c>
      <c r="O35" s="94">
        <f>-Fcast_OP_TO!O21</f>
        <v>-16.971123193359364</v>
      </c>
      <c r="P35" s="94">
        <f>-Fcast_OP_TO!P21</f>
        <v>-17.395401273193347</v>
      </c>
      <c r="Q35" s="94">
        <f>-Fcast_OP_TO!Q21</f>
        <v>-17.830286305023179</v>
      </c>
    </row>
    <row r="36" spans="3:17">
      <c r="D36" s="5" t="str">
        <f>Fcast_OP_TO!C22</f>
        <v>Capital Expenditure - Intangibles</v>
      </c>
      <c r="J36" s="94">
        <f>-Fcast_OP_TO!J22</f>
        <v>0</v>
      </c>
      <c r="K36" s="94">
        <f>-Fcast_OP_TO!K22</f>
        <v>0</v>
      </c>
      <c r="L36" s="94">
        <f>-Fcast_OP_TO!L22</f>
        <v>0</v>
      </c>
      <c r="M36" s="94">
        <f>-Fcast_OP_TO!M22</f>
        <v>-2.6922265624999997</v>
      </c>
      <c r="N36" s="94">
        <f>-Fcast_OP_TO!N22</f>
        <v>-2.7595322265624995</v>
      </c>
      <c r="O36" s="94">
        <f>-Fcast_OP_TO!O22</f>
        <v>-2.8285205322265616</v>
      </c>
      <c r="P36" s="94">
        <f>-Fcast_OP_TO!P22</f>
        <v>-2.8992335455322253</v>
      </c>
      <c r="Q36" s="94">
        <f>-Fcast_OP_TO!Q22</f>
        <v>-2.9717143841705309</v>
      </c>
    </row>
    <row r="37" spans="3:17" s="15" customFormat="1">
      <c r="D37" s="167" t="s">
        <v>494</v>
      </c>
      <c r="J37" s="94">
        <f>-Fcast_OP_TO!J195</f>
        <v>0</v>
      </c>
      <c r="K37" s="94">
        <f>-Fcast_OP_TO!K195</f>
        <v>0</v>
      </c>
      <c r="L37" s="94">
        <f>-Fcast_OP_TO!L195</f>
        <v>0</v>
      </c>
      <c r="M37" s="94">
        <f ca="1">-Fcast_OP_TO!M195</f>
        <v>-1</v>
      </c>
      <c r="N37" s="94">
        <f>-Fcast_OP_TO!N195</f>
        <v>-1</v>
      </c>
      <c r="O37" s="94">
        <f>-Fcast_OP_TO!O195</f>
        <v>-1</v>
      </c>
      <c r="P37" s="94">
        <f>-Fcast_OP_TO!P195</f>
        <v>-1</v>
      </c>
      <c r="Q37" s="94">
        <f>-Fcast_OP_TO!Q195</f>
        <v>-1</v>
      </c>
    </row>
    <row r="38" spans="3:17" s="15" customFormat="1">
      <c r="D38" s="167" t="s">
        <v>495</v>
      </c>
      <c r="J38" s="94">
        <f>Fcast_OP_TO!J207</f>
        <v>0</v>
      </c>
      <c r="K38" s="94">
        <f>Fcast_OP_TO!K207</f>
        <v>0</v>
      </c>
      <c r="L38" s="94">
        <f>Fcast_OP_TO!L207</f>
        <v>0</v>
      </c>
      <c r="M38" s="94">
        <f ca="1">Fcast_OP_TO!M207</f>
        <v>1</v>
      </c>
      <c r="N38" s="94">
        <f>Fcast_OP_TO!N207</f>
        <v>1</v>
      </c>
      <c r="O38" s="94">
        <f>Fcast_OP_TO!O207</f>
        <v>1</v>
      </c>
      <c r="P38" s="94">
        <f>Fcast_OP_TO!P207</f>
        <v>1</v>
      </c>
      <c r="Q38" s="94">
        <f>Fcast_OP_TO!Q207</f>
        <v>1</v>
      </c>
    </row>
    <row r="39" spans="3:17">
      <c r="D39" s="136" t="str">
        <f>"Net "&amp;C33</f>
        <v>Net Cash Flow from Investing Activities</v>
      </c>
      <c r="J39" s="140">
        <f>SUM(J35:J38)</f>
        <v>0</v>
      </c>
      <c r="K39" s="140">
        <f t="shared" ref="K39:Q39" si="11">SUM(K35:K38)</f>
        <v>0</v>
      </c>
      <c r="L39" s="140">
        <f t="shared" si="11"/>
        <v>0</v>
      </c>
      <c r="M39" s="140">
        <f t="shared" ca="1" si="11"/>
        <v>-18.845585937499994</v>
      </c>
      <c r="N39" s="140">
        <f t="shared" si="11"/>
        <v>-19.31672558593749</v>
      </c>
      <c r="O39" s="140">
        <f t="shared" si="11"/>
        <v>-19.799643725585927</v>
      </c>
      <c r="P39" s="140">
        <f t="shared" si="11"/>
        <v>-20.294634818725573</v>
      </c>
      <c r="Q39" s="140">
        <f t="shared" si="11"/>
        <v>-20.802000689193711</v>
      </c>
    </row>
    <row r="40" spans="3:17">
      <c r="J40" s="94"/>
      <c r="K40" s="94"/>
      <c r="L40" s="94"/>
      <c r="M40" s="94"/>
      <c r="N40" s="94"/>
      <c r="O40" s="94"/>
      <c r="P40" s="94"/>
      <c r="Q40" s="94"/>
    </row>
    <row r="41" spans="3:17" ht="11.25">
      <c r="C41" s="93" t="s">
        <v>17</v>
      </c>
      <c r="J41" s="94"/>
      <c r="K41" s="94"/>
      <c r="L41" s="94"/>
      <c r="M41" s="94"/>
      <c r="N41" s="94"/>
      <c r="O41" s="94"/>
      <c r="P41" s="94"/>
      <c r="Q41" s="94"/>
    </row>
    <row r="42" spans="3:17">
      <c r="J42" s="94"/>
      <c r="K42" s="94"/>
      <c r="L42" s="94"/>
      <c r="M42" s="94"/>
      <c r="N42" s="94"/>
      <c r="O42" s="94"/>
      <c r="P42" s="94"/>
      <c r="Q42" s="94"/>
    </row>
    <row r="43" spans="3:17">
      <c r="D43" s="5" t="str">
        <f>Fcast_OP_TO!E96</f>
        <v>Debt Drawdowns</v>
      </c>
      <c r="J43" s="94">
        <f>Fcast_OP_TO!J96</f>
        <v>0</v>
      </c>
      <c r="K43" s="94">
        <f>Fcast_OP_TO!K96</f>
        <v>0</v>
      </c>
      <c r="L43" s="94">
        <f>Fcast_OP_TO!L96</f>
        <v>0</v>
      </c>
      <c r="M43" s="94">
        <f>Fcast_OP_TO!M96</f>
        <v>0</v>
      </c>
      <c r="N43" s="94">
        <f>Fcast_OP_TO!N96</f>
        <v>50</v>
      </c>
      <c r="O43" s="94">
        <f>Fcast_OP_TO!O96</f>
        <v>0</v>
      </c>
      <c r="P43" s="94">
        <f>Fcast_OP_TO!P96</f>
        <v>0</v>
      </c>
      <c r="Q43" s="94">
        <f>Fcast_OP_TO!Q96</f>
        <v>0</v>
      </c>
    </row>
    <row r="44" spans="3:17">
      <c r="D44" s="5" t="str">
        <f>Fcast_OP_TO!E97</f>
        <v>Debt Repayments</v>
      </c>
      <c r="J44" s="94">
        <f>Fcast_OP_TO!J97</f>
        <v>0</v>
      </c>
      <c r="K44" s="94">
        <f>Fcast_OP_TO!K97</f>
        <v>0</v>
      </c>
      <c r="L44" s="94">
        <f>Fcast_OP_TO!L97</f>
        <v>0</v>
      </c>
      <c r="M44" s="94">
        <f>Fcast_OP_TO!M97</f>
        <v>0</v>
      </c>
      <c r="N44" s="94">
        <f>Fcast_OP_TO!N97</f>
        <v>-45</v>
      </c>
      <c r="O44" s="94">
        <f>Fcast_OP_TO!O97</f>
        <v>0</v>
      </c>
      <c r="P44" s="94">
        <f>Fcast_OP_TO!P97</f>
        <v>0</v>
      </c>
      <c r="Q44" s="94">
        <f>Fcast_OP_TO!Q97</f>
        <v>0</v>
      </c>
    </row>
    <row r="45" spans="3:17">
      <c r="D45" s="5" t="str">
        <f>Fcast_OP_TO!E122</f>
        <v>Equity Raisings</v>
      </c>
      <c r="J45" s="94">
        <f>Fcast_OP_TO!J122</f>
        <v>0</v>
      </c>
      <c r="K45" s="94">
        <f>Fcast_OP_TO!K122</f>
        <v>0</v>
      </c>
      <c r="L45" s="94">
        <f>Fcast_OP_TO!L122</f>
        <v>0</v>
      </c>
      <c r="M45" s="94">
        <f>Fcast_OP_TO!M122</f>
        <v>0</v>
      </c>
      <c r="N45" s="94">
        <f>Fcast_OP_TO!N122</f>
        <v>0</v>
      </c>
      <c r="O45" s="94">
        <f>Fcast_OP_TO!O122</f>
        <v>0</v>
      </c>
      <c r="P45" s="94">
        <f>Fcast_OP_TO!P122</f>
        <v>0</v>
      </c>
      <c r="Q45" s="94">
        <f>Fcast_OP_TO!Q122</f>
        <v>0</v>
      </c>
    </row>
    <row r="46" spans="3:17">
      <c r="D46" s="5" t="str">
        <f>Fcast_OP_TO!E123</f>
        <v>Equity Repayments</v>
      </c>
      <c r="J46" s="94">
        <f>Fcast_OP_TO!J123</f>
        <v>0</v>
      </c>
      <c r="K46" s="94">
        <f>Fcast_OP_TO!K123</f>
        <v>0</v>
      </c>
      <c r="L46" s="94">
        <f>Fcast_OP_TO!L123</f>
        <v>0</v>
      </c>
      <c r="M46" s="94">
        <f>Fcast_OP_TO!M123</f>
        <v>0</v>
      </c>
      <c r="N46" s="94">
        <f>Fcast_OP_TO!N123</f>
        <v>0</v>
      </c>
      <c r="O46" s="94">
        <f>Fcast_OP_TO!O123</f>
        <v>0</v>
      </c>
      <c r="P46" s="94">
        <f>Fcast_OP_TO!P123</f>
        <v>0</v>
      </c>
      <c r="Q46" s="94">
        <f>Fcast_OP_TO!Q123</f>
        <v>0</v>
      </c>
    </row>
    <row r="47" spans="3:17">
      <c r="D47" s="5" t="str">
        <f>Fcast_OP_TO!E130</f>
        <v>Dividends Paid During Period</v>
      </c>
      <c r="J47" s="94">
        <f>Fcast_OP_TO!J130</f>
        <v>0</v>
      </c>
      <c r="K47" s="94">
        <f>Fcast_OP_TO!K130</f>
        <v>0</v>
      </c>
      <c r="L47" s="94">
        <f>Fcast_OP_TO!L130</f>
        <v>0</v>
      </c>
      <c r="M47" s="94">
        <f ca="1">Fcast_OP_TO!M130</f>
        <v>-16.153325097656253</v>
      </c>
      <c r="N47" s="94">
        <f ca="1">Fcast_OP_TO!N130</f>
        <v>-16.528720725097664</v>
      </c>
      <c r="O47" s="94">
        <f ca="1">Fcast_OP_TO!O130</f>
        <v>-16.914923118225101</v>
      </c>
      <c r="P47" s="94">
        <f ca="1">Fcast_OP_TO!P130</f>
        <v>-17.369077446180725</v>
      </c>
      <c r="Q47" s="94">
        <f ca="1">Fcast_OP_TO!Q130</f>
        <v>-17.834585632335237</v>
      </c>
    </row>
    <row r="48" spans="3:17" s="15" customFormat="1">
      <c r="D48" s="170" t="s">
        <v>558</v>
      </c>
      <c r="J48" s="94">
        <f>Fcast_OP_TO!J213</f>
        <v>0</v>
      </c>
      <c r="K48" s="94">
        <f>Fcast_OP_TO!K213</f>
        <v>0</v>
      </c>
      <c r="L48" s="94">
        <f>Fcast_OP_TO!L213</f>
        <v>0</v>
      </c>
      <c r="M48" s="94">
        <f ca="1">Fcast_OP_TO!M213</f>
        <v>0.39999999999999858</v>
      </c>
      <c r="N48" s="94">
        <f>Fcast_OP_TO!N213</f>
        <v>9.9999999999999645E-2</v>
      </c>
      <c r="O48" s="94">
        <f>Fcast_OP_TO!O213</f>
        <v>9.9999999999999645E-2</v>
      </c>
      <c r="P48" s="94">
        <f>Fcast_OP_TO!P213</f>
        <v>9.9999999999999645E-2</v>
      </c>
      <c r="Q48" s="94">
        <f>Fcast_OP_TO!Q213</f>
        <v>9.9999999999999645E-2</v>
      </c>
    </row>
    <row r="49" spans="2:17">
      <c r="D49" s="136" t="str">
        <f>"Net "&amp;C41</f>
        <v>Net Cash Flow from Financing Activities</v>
      </c>
      <c r="J49" s="140">
        <f>SUM(J43:J48)</f>
        <v>0</v>
      </c>
      <c r="K49" s="140">
        <f t="shared" ref="K49:Q49" si="12">SUM(K43:K48)</f>
        <v>0</v>
      </c>
      <c r="L49" s="140">
        <f t="shared" si="12"/>
        <v>0</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2:17">
      <c r="J50" s="94"/>
      <c r="K50" s="94"/>
      <c r="L50" s="94"/>
      <c r="M50" s="94"/>
      <c r="N50" s="94"/>
      <c r="O50" s="94"/>
      <c r="P50" s="94"/>
      <c r="Q50" s="94"/>
    </row>
    <row r="51" spans="2:17" ht="12" thickBot="1">
      <c r="C51" s="93" t="s">
        <v>18</v>
      </c>
      <c r="J51" s="139">
        <f t="shared" ref="J51:Q51" si="13">J31+J39+J49</f>
        <v>0</v>
      </c>
      <c r="K51" s="139">
        <f t="shared" si="13"/>
        <v>0</v>
      </c>
      <c r="L51" s="139">
        <f t="shared" si="13"/>
        <v>0</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2:17" ht="11.25" thickTop="1"/>
    <row r="54" spans="2:17" ht="12.75">
      <c r="B54" s="119" t="s">
        <v>425</v>
      </c>
    </row>
    <row r="56" spans="2:17" ht="11.25">
      <c r="C56" s="120" t="str">
        <f>C18</f>
        <v>Cash Flow from Operating Activities</v>
      </c>
    </row>
    <row r="58" spans="2:17">
      <c r="D58" s="107" t="s">
        <v>13</v>
      </c>
      <c r="J58" s="94">
        <f>IS_Fcast_TO!J39</f>
        <v>0</v>
      </c>
      <c r="K58" s="94">
        <f>IS_Fcast_TO!K39</f>
        <v>0</v>
      </c>
      <c r="L58" s="94">
        <f>IS_Fcast_TO!L39</f>
        <v>0</v>
      </c>
      <c r="M58" s="94">
        <f ca="1">IS_Fcast_TO!M39</f>
        <v>32.306650195312507</v>
      </c>
      <c r="N58" s="94">
        <f ca="1">IS_Fcast_TO!N39</f>
        <v>33.057441450195327</v>
      </c>
      <c r="O58" s="94">
        <f ca="1">IS_Fcast_TO!O39</f>
        <v>33.829846236450202</v>
      </c>
      <c r="P58" s="94">
        <f ca="1">IS_Fcast_TO!P39</f>
        <v>34.73815489236145</v>
      </c>
      <c r="Q58" s="94">
        <f ca="1">IS_Fcast_TO!Q39</f>
        <v>35.669171264670474</v>
      </c>
    </row>
    <row r="59" spans="2:17">
      <c r="D59" s="107" t="s">
        <v>19</v>
      </c>
      <c r="J59" s="94">
        <f>-IS_Fcast_TO!J37</f>
        <v>0</v>
      </c>
      <c r="K59" s="94">
        <f>-IS_Fcast_TO!K37</f>
        <v>0</v>
      </c>
      <c r="L59" s="94">
        <f>-IS_Fcast_TO!L37</f>
        <v>0</v>
      </c>
      <c r="M59" s="94">
        <f ca="1">-IS_Fcast_TO!M37</f>
        <v>13.845707226562503</v>
      </c>
      <c r="N59" s="94">
        <f ca="1">-IS_Fcast_TO!N37</f>
        <v>14.167474907226566</v>
      </c>
      <c r="O59" s="94">
        <f ca="1">-IS_Fcast_TO!O37</f>
        <v>14.498505529907227</v>
      </c>
      <c r="P59" s="94">
        <f ca="1">-IS_Fcast_TO!P37</f>
        <v>14.887780668154907</v>
      </c>
      <c r="Q59" s="94">
        <f ca="1">-IS_Fcast_TO!Q37</f>
        <v>15.286787684858773</v>
      </c>
    </row>
    <row r="60" spans="2:17">
      <c r="D60" s="107" t="s">
        <v>20</v>
      </c>
      <c r="J60" s="94">
        <f>-IS_Fcast_TO!J33</f>
        <v>0</v>
      </c>
      <c r="K60" s="94">
        <f>-IS_Fcast_TO!K33</f>
        <v>0</v>
      </c>
      <c r="L60" s="94">
        <f>-IS_Fcast_TO!L33</f>
        <v>0</v>
      </c>
      <c r="M60" s="94">
        <f ca="1">-IS_Fcast_TO!M33</f>
        <v>3.25</v>
      </c>
      <c r="N60" s="94">
        <f ca="1">-IS_Fcast_TO!N33</f>
        <v>3.4125000000000001</v>
      </c>
      <c r="O60" s="94">
        <f ca="1">-IS_Fcast_TO!O33</f>
        <v>3.5750000000000002</v>
      </c>
      <c r="P60" s="94">
        <f ca="1">-IS_Fcast_TO!P33</f>
        <v>3.5750000000000002</v>
      </c>
      <c r="Q60" s="94">
        <f ca="1">-IS_Fcast_TO!Q33</f>
        <v>3.5750000000000002</v>
      </c>
    </row>
    <row r="61" spans="2:17">
      <c r="D61" s="107" t="s">
        <v>21</v>
      </c>
      <c r="J61" s="94">
        <f>-IS_Fcast_TO!J29</f>
        <v>0</v>
      </c>
      <c r="K61" s="94">
        <f>-IS_Fcast_TO!K29</f>
        <v>0</v>
      </c>
      <c r="L61" s="94">
        <f>-IS_Fcast_TO!L29</f>
        <v>0</v>
      </c>
      <c r="M61" s="94">
        <f>-IS_Fcast_TO!M29</f>
        <v>15.211080078124994</v>
      </c>
      <c r="N61" s="94">
        <f>-IS_Fcast_TO!N29</f>
        <v>15.591357080078117</v>
      </c>
      <c r="O61" s="94">
        <f>-IS_Fcast_TO!O29</f>
        <v>15.981141007080069</v>
      </c>
      <c r="P61" s="94">
        <f>-IS_Fcast_TO!P29</f>
        <v>16.38066953225707</v>
      </c>
      <c r="Q61" s="94">
        <f>-IS_Fcast_TO!Q29</f>
        <v>16.790186270563492</v>
      </c>
    </row>
    <row r="62" spans="2:17">
      <c r="D62" s="5" t="str">
        <f>E21</f>
        <v>Decrease in Accounts Receivable</v>
      </c>
      <c r="J62" s="94">
        <f t="shared" ref="J62" si="14">J21</f>
        <v>0</v>
      </c>
      <c r="K62" s="94">
        <f t="shared" ref="K62:Q62" si="15">K21</f>
        <v>0</v>
      </c>
      <c r="L62" s="94">
        <f t="shared" si="15"/>
        <v>0</v>
      </c>
      <c r="M62" s="94">
        <f t="shared" ca="1" si="15"/>
        <v>-0.29934436756118998</v>
      </c>
      <c r="N62" s="94">
        <f t="shared" si="15"/>
        <v>-0.27659861943493524</v>
      </c>
      <c r="O62" s="94">
        <f t="shared" si="15"/>
        <v>-0.28351358492079726</v>
      </c>
      <c r="P62" s="94">
        <f t="shared" si="15"/>
        <v>-0.25804771305121221</v>
      </c>
      <c r="Q62" s="94">
        <f t="shared" si="15"/>
        <v>-0.3304201716500188</v>
      </c>
    </row>
    <row r="63" spans="2:17">
      <c r="D63" s="5" t="str">
        <f>E25</f>
        <v>Increase in Accounts Payable</v>
      </c>
      <c r="J63" s="94">
        <f t="shared" ref="J63" si="16">J25</f>
        <v>0</v>
      </c>
      <c r="K63" s="94">
        <f t="shared" ref="K63:Q63" si="17">K25</f>
        <v>0</v>
      </c>
      <c r="L63" s="94">
        <f t="shared" si="17"/>
        <v>0</v>
      </c>
      <c r="M63" s="94">
        <f t="shared" ca="1" si="17"/>
        <v>0.2334886066977333</v>
      </c>
      <c r="N63" s="94">
        <f t="shared" si="17"/>
        <v>0.21574692315924437</v>
      </c>
      <c r="O63" s="94">
        <f t="shared" si="17"/>
        <v>0.22114059623822868</v>
      </c>
      <c r="P63" s="94">
        <f t="shared" si="17"/>
        <v>0.20127721617994609</v>
      </c>
      <c r="Q63" s="94">
        <f t="shared" si="17"/>
        <v>0.25772773388702319</v>
      </c>
    </row>
    <row r="64" spans="2:17">
      <c r="D64" s="5" t="str">
        <f>D27</f>
        <v>Interest Paid</v>
      </c>
      <c r="J64" s="94">
        <f t="shared" ref="J64" si="18">J27</f>
        <v>0</v>
      </c>
      <c r="K64" s="94">
        <f t="shared" ref="K64:Q64" si="19">K27</f>
        <v>0</v>
      </c>
      <c r="L64" s="94">
        <f t="shared" si="19"/>
        <v>0</v>
      </c>
      <c r="M64" s="94">
        <f t="shared" ca="1" si="19"/>
        <v>-3.25</v>
      </c>
      <c r="N64" s="94">
        <f t="shared" ca="1" si="19"/>
        <v>-3.4125000000000001</v>
      </c>
      <c r="O64" s="94">
        <f t="shared" ca="1" si="19"/>
        <v>-3.5750000000000002</v>
      </c>
      <c r="P64" s="94">
        <f t="shared" ca="1" si="19"/>
        <v>-3.5750000000000002</v>
      </c>
      <c r="Q64" s="94">
        <f t="shared" ca="1" si="19"/>
        <v>-3.5750000000000002</v>
      </c>
    </row>
    <row r="65" spans="3:17">
      <c r="D65" s="5" t="str">
        <f>D28</f>
        <v>Tax Paid</v>
      </c>
      <c r="J65" s="94">
        <f t="shared" ref="J65" si="20">J28</f>
        <v>0</v>
      </c>
      <c r="K65" s="94">
        <f t="shared" ref="K65:Q65" si="21">K28</f>
        <v>0</v>
      </c>
      <c r="L65" s="94">
        <f t="shared" si="21"/>
        <v>0</v>
      </c>
      <c r="M65" s="94">
        <f t="shared" ca="1" si="21"/>
        <v>-13.484226562500004</v>
      </c>
      <c r="N65" s="94">
        <f t="shared" ca="1" si="21"/>
        <v>-13.845707226562503</v>
      </c>
      <c r="O65" s="94">
        <f t="shared" ca="1" si="21"/>
        <v>-14.167474907226566</v>
      </c>
      <c r="P65" s="94">
        <f t="shared" ca="1" si="21"/>
        <v>-14.498505529907227</v>
      </c>
      <c r="Q65" s="94">
        <f t="shared" ca="1" si="21"/>
        <v>-14.887780668154907</v>
      </c>
    </row>
    <row r="66" spans="3:17" s="15" customFormat="1">
      <c r="D66" s="5" t="str">
        <f t="shared" ref="D66:D67" si="22">D29</f>
        <v>Decrease in Other Current Assets</v>
      </c>
      <c r="J66" s="94">
        <f t="shared" ref="J66" si="23">J29</f>
        <v>0</v>
      </c>
      <c r="K66" s="94">
        <f t="shared" ref="K66:Q66" si="24">K29</f>
        <v>0</v>
      </c>
      <c r="L66" s="94">
        <f t="shared" si="24"/>
        <v>0</v>
      </c>
      <c r="M66" s="94">
        <f t="shared" ca="1" si="24"/>
        <v>-1</v>
      </c>
      <c r="N66" s="94">
        <f t="shared" si="24"/>
        <v>-1</v>
      </c>
      <c r="O66" s="94">
        <f t="shared" si="24"/>
        <v>-1</v>
      </c>
      <c r="P66" s="94">
        <f t="shared" si="24"/>
        <v>-1</v>
      </c>
      <c r="Q66" s="94">
        <f t="shared" si="24"/>
        <v>-1</v>
      </c>
    </row>
    <row r="67" spans="3:17" s="15" customFormat="1">
      <c r="D67" s="5" t="str">
        <f t="shared" si="22"/>
        <v>Increase in Other Current Liabilities</v>
      </c>
      <c r="J67" s="94">
        <f t="shared" ref="J67" si="25">J30</f>
        <v>0</v>
      </c>
      <c r="K67" s="94">
        <f t="shared" ref="K67:Q67" si="26">K30</f>
        <v>0</v>
      </c>
      <c r="L67" s="94">
        <f t="shared" si="26"/>
        <v>0</v>
      </c>
      <c r="M67" s="94">
        <f t="shared" ca="1" si="26"/>
        <v>1</v>
      </c>
      <c r="N67" s="94">
        <f t="shared" si="26"/>
        <v>1</v>
      </c>
      <c r="O67" s="94">
        <f t="shared" si="26"/>
        <v>1</v>
      </c>
      <c r="P67" s="94">
        <f t="shared" si="26"/>
        <v>1</v>
      </c>
      <c r="Q67" s="94">
        <f t="shared" si="26"/>
        <v>1</v>
      </c>
    </row>
    <row r="68" spans="3:17">
      <c r="D68" s="4" t="str">
        <f>D31</f>
        <v>Net Cash Flow from Operating Activities</v>
      </c>
      <c r="J68" s="140">
        <f t="shared" ref="J68" si="27">SUM(J58:J67)</f>
        <v>0</v>
      </c>
      <c r="K68" s="140">
        <f t="shared" ref="K68:Q68" si="28">SUM(K58:K67)</f>
        <v>0</v>
      </c>
      <c r="L68" s="140">
        <f t="shared" si="28"/>
        <v>0</v>
      </c>
      <c r="M68" s="140">
        <f t="shared" ca="1" si="28"/>
        <v>47.813355176636541</v>
      </c>
      <c r="N68" s="140">
        <f t="shared" ca="1" si="28"/>
        <v>48.909714514661815</v>
      </c>
      <c r="O68" s="140">
        <f t="shared" ca="1" si="28"/>
        <v>50.079644877528366</v>
      </c>
      <c r="P68" s="140">
        <f t="shared" ca="1" si="28"/>
        <v>51.451329065994933</v>
      </c>
      <c r="Q68" s="140">
        <f t="shared" ca="1" si="28"/>
        <v>52.785672114174844</v>
      </c>
    </row>
    <row r="70" spans="3:17" ht="11.25">
      <c r="C70" s="120" t="str">
        <f>C33</f>
        <v>Cash Flow from Investing Activities</v>
      </c>
    </row>
    <row r="72" spans="3:17">
      <c r="D72" s="5" t="str">
        <f>D35</f>
        <v>Capital Expenditure - Assets</v>
      </c>
      <c r="J72" s="94">
        <f t="shared" ref="J72:Q73" si="29">J35</f>
        <v>0</v>
      </c>
      <c r="K72" s="94">
        <f t="shared" si="29"/>
        <v>0</v>
      </c>
      <c r="L72" s="94">
        <f t="shared" si="29"/>
        <v>0</v>
      </c>
      <c r="M72" s="94">
        <f t="shared" si="29"/>
        <v>-16.153359374999994</v>
      </c>
      <c r="N72" s="94">
        <f t="shared" si="29"/>
        <v>-16.557193359374992</v>
      </c>
      <c r="O72" s="94">
        <f t="shared" si="29"/>
        <v>-16.971123193359364</v>
      </c>
      <c r="P72" s="94">
        <f t="shared" si="29"/>
        <v>-17.395401273193347</v>
      </c>
      <c r="Q72" s="94">
        <f t="shared" si="29"/>
        <v>-17.830286305023179</v>
      </c>
    </row>
    <row r="73" spans="3:17" s="15" customFormat="1">
      <c r="D73" s="5" t="str">
        <f>D36</f>
        <v>Capital Expenditure - Intangibles</v>
      </c>
      <c r="J73" s="94">
        <f t="shared" si="29"/>
        <v>0</v>
      </c>
      <c r="K73" s="94">
        <f t="shared" si="29"/>
        <v>0</v>
      </c>
      <c r="L73" s="94">
        <f t="shared" si="29"/>
        <v>0</v>
      </c>
      <c r="M73" s="94">
        <f t="shared" si="29"/>
        <v>-2.6922265624999997</v>
      </c>
      <c r="N73" s="94">
        <f t="shared" si="29"/>
        <v>-2.7595322265624995</v>
      </c>
      <c r="O73" s="94">
        <f t="shared" si="29"/>
        <v>-2.8285205322265616</v>
      </c>
      <c r="P73" s="94">
        <f t="shared" si="29"/>
        <v>-2.8992335455322253</v>
      </c>
      <c r="Q73" s="94">
        <f t="shared" si="29"/>
        <v>-2.9717143841705309</v>
      </c>
    </row>
    <row r="74" spans="3:17" s="15" customFormat="1">
      <c r="D74" s="5" t="str">
        <f t="shared" ref="D74:D75" si="30">D37</f>
        <v>Decrease in Other Non-Current Assets</v>
      </c>
      <c r="J74" s="94">
        <f t="shared" ref="J74:Q74" si="31">J37</f>
        <v>0</v>
      </c>
      <c r="K74" s="94">
        <f t="shared" si="31"/>
        <v>0</v>
      </c>
      <c r="L74" s="94">
        <f t="shared" si="31"/>
        <v>0</v>
      </c>
      <c r="M74" s="94">
        <f t="shared" ca="1" si="31"/>
        <v>-1</v>
      </c>
      <c r="N74" s="94">
        <f t="shared" si="31"/>
        <v>-1</v>
      </c>
      <c r="O74" s="94">
        <f t="shared" si="31"/>
        <v>-1</v>
      </c>
      <c r="P74" s="94">
        <f t="shared" si="31"/>
        <v>-1</v>
      </c>
      <c r="Q74" s="94">
        <f t="shared" si="31"/>
        <v>-1</v>
      </c>
    </row>
    <row r="75" spans="3:17" s="15" customFormat="1">
      <c r="D75" s="5" t="str">
        <f t="shared" si="30"/>
        <v>Increase in Other Non-Current Liabilities</v>
      </c>
      <c r="J75" s="94">
        <f t="shared" ref="J75:Q75" si="32">J38</f>
        <v>0</v>
      </c>
      <c r="K75" s="94">
        <f t="shared" si="32"/>
        <v>0</v>
      </c>
      <c r="L75" s="94">
        <f t="shared" si="32"/>
        <v>0</v>
      </c>
      <c r="M75" s="94">
        <f t="shared" ca="1" si="32"/>
        <v>1</v>
      </c>
      <c r="N75" s="94">
        <f t="shared" si="32"/>
        <v>1</v>
      </c>
      <c r="O75" s="94">
        <f t="shared" si="32"/>
        <v>1</v>
      </c>
      <c r="P75" s="94">
        <f t="shared" si="32"/>
        <v>1</v>
      </c>
      <c r="Q75" s="94">
        <f t="shared" si="32"/>
        <v>1</v>
      </c>
    </row>
    <row r="76" spans="3:17">
      <c r="D76" s="4" t="str">
        <f>D39</f>
        <v>Net Cash Flow from Investing Activities</v>
      </c>
      <c r="J76" s="140">
        <f>SUM(J72:J75)</f>
        <v>0</v>
      </c>
      <c r="K76" s="140">
        <f t="shared" ref="K76:Q76" si="33">SUM(K72:K75)</f>
        <v>0</v>
      </c>
      <c r="L76" s="140">
        <f t="shared" si="33"/>
        <v>0</v>
      </c>
      <c r="M76" s="140">
        <f t="shared" ca="1" si="33"/>
        <v>-18.845585937499994</v>
      </c>
      <c r="N76" s="140">
        <f t="shared" si="33"/>
        <v>-19.31672558593749</v>
      </c>
      <c r="O76" s="140">
        <f t="shared" si="33"/>
        <v>-19.799643725585927</v>
      </c>
      <c r="P76" s="140">
        <f t="shared" si="33"/>
        <v>-20.294634818725573</v>
      </c>
      <c r="Q76" s="140">
        <f t="shared" si="33"/>
        <v>-20.802000689193711</v>
      </c>
    </row>
    <row r="78" spans="3:17" ht="11.25">
      <c r="C78" s="120" t="str">
        <f>C41</f>
        <v>Cash Flow from Financing Activities</v>
      </c>
    </row>
    <row r="80" spans="3:17">
      <c r="D80" s="5" t="str">
        <f>D43</f>
        <v>Debt Drawdowns</v>
      </c>
      <c r="J80" s="94">
        <f>J43</f>
        <v>0</v>
      </c>
      <c r="K80" s="94">
        <f t="shared" ref="K80:Q80" si="34">K43</f>
        <v>0</v>
      </c>
      <c r="L80" s="94">
        <f t="shared" si="34"/>
        <v>0</v>
      </c>
      <c r="M80" s="94">
        <f t="shared" si="34"/>
        <v>0</v>
      </c>
      <c r="N80" s="94">
        <f t="shared" si="34"/>
        <v>50</v>
      </c>
      <c r="O80" s="94">
        <f t="shared" si="34"/>
        <v>0</v>
      </c>
      <c r="P80" s="94">
        <f t="shared" si="34"/>
        <v>0</v>
      </c>
      <c r="Q80" s="94">
        <f t="shared" si="34"/>
        <v>0</v>
      </c>
    </row>
    <row r="81" spans="2:17">
      <c r="D81" s="5" t="str">
        <f t="shared" ref="D81:D85" si="35">D44</f>
        <v>Debt Repayments</v>
      </c>
      <c r="J81" s="94">
        <f t="shared" ref="J81:Q85" si="36">J44</f>
        <v>0</v>
      </c>
      <c r="K81" s="94">
        <f t="shared" si="36"/>
        <v>0</v>
      </c>
      <c r="L81" s="94">
        <f t="shared" si="36"/>
        <v>0</v>
      </c>
      <c r="M81" s="94">
        <f t="shared" si="36"/>
        <v>0</v>
      </c>
      <c r="N81" s="94">
        <f t="shared" si="36"/>
        <v>-45</v>
      </c>
      <c r="O81" s="94">
        <f t="shared" si="36"/>
        <v>0</v>
      </c>
      <c r="P81" s="94">
        <f t="shared" si="36"/>
        <v>0</v>
      </c>
      <c r="Q81" s="94">
        <f t="shared" si="36"/>
        <v>0</v>
      </c>
    </row>
    <row r="82" spans="2:17">
      <c r="D82" s="5" t="str">
        <f t="shared" si="35"/>
        <v>Equity Raisings</v>
      </c>
      <c r="J82" s="94">
        <f t="shared" si="36"/>
        <v>0</v>
      </c>
      <c r="K82" s="94">
        <f t="shared" si="36"/>
        <v>0</v>
      </c>
      <c r="L82" s="94">
        <f t="shared" si="36"/>
        <v>0</v>
      </c>
      <c r="M82" s="94">
        <f t="shared" si="36"/>
        <v>0</v>
      </c>
      <c r="N82" s="94">
        <f t="shared" si="36"/>
        <v>0</v>
      </c>
      <c r="O82" s="94">
        <f t="shared" si="36"/>
        <v>0</v>
      </c>
      <c r="P82" s="94">
        <f t="shared" si="36"/>
        <v>0</v>
      </c>
      <c r="Q82" s="94">
        <f t="shared" si="36"/>
        <v>0</v>
      </c>
    </row>
    <row r="83" spans="2:17">
      <c r="D83" s="5" t="str">
        <f t="shared" si="35"/>
        <v>Equity Repayments</v>
      </c>
      <c r="J83" s="94">
        <f t="shared" si="36"/>
        <v>0</v>
      </c>
      <c r="K83" s="94">
        <f t="shared" si="36"/>
        <v>0</v>
      </c>
      <c r="L83" s="94">
        <f t="shared" si="36"/>
        <v>0</v>
      </c>
      <c r="M83" s="94">
        <f t="shared" si="36"/>
        <v>0</v>
      </c>
      <c r="N83" s="94">
        <f t="shared" si="36"/>
        <v>0</v>
      </c>
      <c r="O83" s="94">
        <f t="shared" si="36"/>
        <v>0</v>
      </c>
      <c r="P83" s="94">
        <f t="shared" si="36"/>
        <v>0</v>
      </c>
      <c r="Q83" s="94">
        <f t="shared" si="36"/>
        <v>0</v>
      </c>
    </row>
    <row r="84" spans="2:17">
      <c r="D84" s="5" t="str">
        <f t="shared" si="35"/>
        <v>Dividends Paid During Period</v>
      </c>
      <c r="J84" s="94">
        <f t="shared" si="36"/>
        <v>0</v>
      </c>
      <c r="K84" s="94">
        <f t="shared" si="36"/>
        <v>0</v>
      </c>
      <c r="L84" s="94">
        <f t="shared" si="36"/>
        <v>0</v>
      </c>
      <c r="M84" s="94">
        <f t="shared" ca="1" si="36"/>
        <v>-16.153325097656253</v>
      </c>
      <c r="N84" s="94">
        <f t="shared" ca="1" si="36"/>
        <v>-16.528720725097664</v>
      </c>
      <c r="O84" s="94">
        <f t="shared" ca="1" si="36"/>
        <v>-16.914923118225101</v>
      </c>
      <c r="P84" s="94">
        <f t="shared" ca="1" si="36"/>
        <v>-17.369077446180725</v>
      </c>
      <c r="Q84" s="94">
        <f t="shared" ca="1" si="36"/>
        <v>-17.834585632335237</v>
      </c>
    </row>
    <row r="85" spans="2:17" s="15" customFormat="1">
      <c r="D85" s="5" t="str">
        <f t="shared" si="35"/>
        <v>Increase in Other Equity</v>
      </c>
      <c r="J85" s="94">
        <f t="shared" si="36"/>
        <v>0</v>
      </c>
      <c r="K85" s="94">
        <f t="shared" si="36"/>
        <v>0</v>
      </c>
      <c r="L85" s="94">
        <f t="shared" si="36"/>
        <v>0</v>
      </c>
      <c r="M85" s="94">
        <f t="shared" ca="1" si="36"/>
        <v>0.39999999999999858</v>
      </c>
      <c r="N85" s="94">
        <f t="shared" si="36"/>
        <v>9.9999999999999645E-2</v>
      </c>
      <c r="O85" s="94">
        <f t="shared" si="36"/>
        <v>9.9999999999999645E-2</v>
      </c>
      <c r="P85" s="94">
        <f t="shared" si="36"/>
        <v>9.9999999999999645E-2</v>
      </c>
      <c r="Q85" s="94">
        <f t="shared" si="36"/>
        <v>9.9999999999999645E-2</v>
      </c>
    </row>
    <row r="86" spans="2:17">
      <c r="D86" s="4" t="str">
        <f>D49</f>
        <v>Net Cash Flow from Financing Activities</v>
      </c>
      <c r="J86" s="140">
        <f>SUM(J80:J85)</f>
        <v>0</v>
      </c>
      <c r="K86" s="140">
        <f t="shared" ref="K86:Q86" si="37">SUM(K80:K85)</f>
        <v>0</v>
      </c>
      <c r="L86" s="140">
        <f t="shared" si="37"/>
        <v>0</v>
      </c>
      <c r="M86" s="140">
        <f t="shared" ca="1" si="37"/>
        <v>-15.753325097656255</v>
      </c>
      <c r="N86" s="140">
        <f t="shared" ca="1" si="37"/>
        <v>-11.428720725097664</v>
      </c>
      <c r="O86" s="140">
        <f t="shared" ca="1" si="37"/>
        <v>-16.814923118225103</v>
      </c>
      <c r="P86" s="140">
        <f t="shared" ca="1" si="37"/>
        <v>-17.269077446180724</v>
      </c>
      <c r="Q86" s="140">
        <f t="shared" ca="1" si="37"/>
        <v>-17.734585632335239</v>
      </c>
    </row>
    <row r="88" spans="2:17" ht="12" thickBot="1">
      <c r="C88" s="120" t="str">
        <f>C51</f>
        <v>Net Increase / (Decrease) in Cash Held</v>
      </c>
      <c r="J88" s="139">
        <f t="shared" ref="J88:Q88" si="38">J68+J76+J86</f>
        <v>0</v>
      </c>
      <c r="K88" s="139">
        <f t="shared" si="38"/>
        <v>0</v>
      </c>
      <c r="L88" s="139">
        <f t="shared" si="38"/>
        <v>0</v>
      </c>
      <c r="M88" s="139">
        <f t="shared" ca="1" si="38"/>
        <v>13.214444141480293</v>
      </c>
      <c r="N88" s="139">
        <f t="shared" ca="1" si="38"/>
        <v>18.164268203626662</v>
      </c>
      <c r="O88" s="139">
        <f t="shared" ca="1" si="38"/>
        <v>13.465078033717337</v>
      </c>
      <c r="P88" s="139">
        <f t="shared" ca="1" si="38"/>
        <v>13.887616801088637</v>
      </c>
      <c r="Q88" s="139">
        <f t="shared" ca="1" si="38"/>
        <v>14.249085792645893</v>
      </c>
    </row>
    <row r="89" spans="2:17" ht="11.25" thickTop="1"/>
    <row r="91" spans="2:17" ht="12.75">
      <c r="B91" s="119" t="s">
        <v>426</v>
      </c>
    </row>
    <row r="93" spans="2:17">
      <c r="D93" s="5" t="str">
        <f>$D$31</f>
        <v>Net Cash Flow from Operating Activities</v>
      </c>
      <c r="J93" s="94">
        <f t="shared" ref="J93:Q93" si="39">J$31</f>
        <v>0</v>
      </c>
      <c r="K93" s="94">
        <f t="shared" si="39"/>
        <v>0</v>
      </c>
      <c r="L93" s="94">
        <f t="shared" si="39"/>
        <v>0</v>
      </c>
      <c r="M93" s="94">
        <f t="shared" ca="1" si="39"/>
        <v>47.813355176636556</v>
      </c>
      <c r="N93" s="94">
        <f t="shared" ca="1" si="39"/>
        <v>48.909714514661815</v>
      </c>
      <c r="O93" s="94">
        <f t="shared" ca="1" si="39"/>
        <v>50.079644877528366</v>
      </c>
      <c r="P93" s="94">
        <f t="shared" ca="1" si="39"/>
        <v>51.45132906599494</v>
      </c>
      <c r="Q93" s="94">
        <f t="shared" ca="1" si="39"/>
        <v>52.785672114174844</v>
      </c>
    </row>
    <row r="94" spans="2:17">
      <c r="D94" s="5" t="str">
        <f>$D$39</f>
        <v>Net Cash Flow from Investing Activities</v>
      </c>
      <c r="J94" s="94">
        <f t="shared" ref="J94:Q94" si="40">J$39</f>
        <v>0</v>
      </c>
      <c r="K94" s="94">
        <f t="shared" si="40"/>
        <v>0</v>
      </c>
      <c r="L94" s="94">
        <f t="shared" si="40"/>
        <v>0</v>
      </c>
      <c r="M94" s="94">
        <f t="shared" ca="1" si="40"/>
        <v>-18.845585937499994</v>
      </c>
      <c r="N94" s="94">
        <f t="shared" si="40"/>
        <v>-19.31672558593749</v>
      </c>
      <c r="O94" s="94">
        <f t="shared" si="40"/>
        <v>-19.799643725585927</v>
      </c>
      <c r="P94" s="94">
        <f t="shared" si="40"/>
        <v>-20.294634818725573</v>
      </c>
      <c r="Q94" s="94">
        <f t="shared" si="40"/>
        <v>-20.802000689193711</v>
      </c>
    </row>
    <row r="95" spans="2:17">
      <c r="D95" s="116" t="str">
        <f>"(Add Back) "&amp;$D$27</f>
        <v>(Add Back) Interest Paid</v>
      </c>
      <c r="J95" s="96">
        <f t="shared" ref="J95:Q95" si="41">-J$27</f>
        <v>0</v>
      </c>
      <c r="K95" s="96">
        <f t="shared" si="41"/>
        <v>0</v>
      </c>
      <c r="L95" s="96">
        <f t="shared" si="41"/>
        <v>0</v>
      </c>
      <c r="M95" s="96">
        <f t="shared" ca="1" si="41"/>
        <v>3.25</v>
      </c>
      <c r="N95" s="96">
        <f t="shared" ca="1" si="41"/>
        <v>3.4125000000000001</v>
      </c>
      <c r="O95" s="96">
        <f t="shared" ca="1" si="41"/>
        <v>3.5750000000000002</v>
      </c>
      <c r="P95" s="96">
        <f t="shared" ca="1" si="41"/>
        <v>3.5750000000000002</v>
      </c>
      <c r="Q95" s="96">
        <f t="shared" ca="1" si="41"/>
        <v>3.5750000000000002</v>
      </c>
    </row>
    <row r="96" spans="2:17">
      <c r="D96" s="108" t="s">
        <v>22</v>
      </c>
      <c r="J96" s="97">
        <f t="shared" ref="J96:Q96" si="42">SUM(J93:J95)</f>
        <v>0</v>
      </c>
      <c r="K96" s="97">
        <f t="shared" si="42"/>
        <v>0</v>
      </c>
      <c r="L96" s="97">
        <f t="shared" si="42"/>
        <v>0</v>
      </c>
      <c r="M96" s="97">
        <f t="shared" ca="1" si="42"/>
        <v>32.217769239136558</v>
      </c>
      <c r="N96" s="97">
        <f t="shared" ca="1" si="42"/>
        <v>33.005488928724326</v>
      </c>
      <c r="O96" s="97">
        <f t="shared" ca="1" si="42"/>
        <v>33.855001151942439</v>
      </c>
      <c r="P96" s="97">
        <f t="shared" ca="1" si="42"/>
        <v>34.731694247269367</v>
      </c>
      <c r="Q96" s="97">
        <f t="shared" ca="1" si="42"/>
        <v>35.558671424981135</v>
      </c>
    </row>
    <row r="97" spans="4:17">
      <c r="D97" s="5" t="str">
        <f>$D$27</f>
        <v>Interest Paid</v>
      </c>
      <c r="J97" s="94">
        <f t="shared" ref="J97:Q97" si="43">J$27</f>
        <v>0</v>
      </c>
      <c r="K97" s="94">
        <f t="shared" si="43"/>
        <v>0</v>
      </c>
      <c r="L97" s="94">
        <f t="shared" si="43"/>
        <v>0</v>
      </c>
      <c r="M97" s="94">
        <f t="shared" ca="1" si="43"/>
        <v>-3.25</v>
      </c>
      <c r="N97" s="94">
        <f t="shared" ca="1" si="43"/>
        <v>-3.4125000000000001</v>
      </c>
      <c r="O97" s="94">
        <f t="shared" ca="1" si="43"/>
        <v>-3.5750000000000002</v>
      </c>
      <c r="P97" s="94">
        <f t="shared" ca="1" si="43"/>
        <v>-3.5750000000000002</v>
      </c>
      <c r="Q97" s="94">
        <f t="shared" ca="1" si="43"/>
        <v>-3.5750000000000002</v>
      </c>
    </row>
    <row r="98" spans="4:17">
      <c r="D98" s="5" t="str">
        <f>D43</f>
        <v>Debt Drawdowns</v>
      </c>
      <c r="J98" s="94">
        <f>J43</f>
        <v>0</v>
      </c>
      <c r="K98" s="94">
        <f t="shared" ref="K98:Q98" si="44">K43</f>
        <v>0</v>
      </c>
      <c r="L98" s="94">
        <f t="shared" si="44"/>
        <v>0</v>
      </c>
      <c r="M98" s="94">
        <f t="shared" si="44"/>
        <v>0</v>
      </c>
      <c r="N98" s="94">
        <f t="shared" si="44"/>
        <v>50</v>
      </c>
      <c r="O98" s="94">
        <f t="shared" si="44"/>
        <v>0</v>
      </c>
      <c r="P98" s="94">
        <f t="shared" si="44"/>
        <v>0</v>
      </c>
      <c r="Q98" s="94">
        <f t="shared" si="44"/>
        <v>0</v>
      </c>
    </row>
    <row r="99" spans="4:17" s="21" customFormat="1">
      <c r="D99" s="240" t="str">
        <f>D44</f>
        <v>Debt Repayments</v>
      </c>
      <c r="J99" s="121">
        <f>J44</f>
        <v>0</v>
      </c>
      <c r="K99" s="121">
        <f t="shared" ref="K99:Q99" si="45">K44</f>
        <v>0</v>
      </c>
      <c r="L99" s="121">
        <f t="shared" si="45"/>
        <v>0</v>
      </c>
      <c r="M99" s="121">
        <f t="shared" si="45"/>
        <v>0</v>
      </c>
      <c r="N99" s="121">
        <f t="shared" si="45"/>
        <v>-45</v>
      </c>
      <c r="O99" s="121">
        <f t="shared" si="45"/>
        <v>0</v>
      </c>
      <c r="P99" s="121">
        <f t="shared" si="45"/>
        <v>0</v>
      </c>
      <c r="Q99" s="121">
        <f t="shared" si="45"/>
        <v>0</v>
      </c>
    </row>
    <row r="100" spans="4:17" s="15" customFormat="1">
      <c r="D100" s="5" t="str">
        <f>D48</f>
        <v>Increase in Other Equity</v>
      </c>
      <c r="J100" s="96">
        <f>J48</f>
        <v>0</v>
      </c>
      <c r="K100" s="96">
        <f t="shared" ref="K100:Q100" si="46">K48</f>
        <v>0</v>
      </c>
      <c r="L100" s="96">
        <f t="shared" si="46"/>
        <v>0</v>
      </c>
      <c r="M100" s="96">
        <f t="shared" ca="1" si="46"/>
        <v>0.39999999999999858</v>
      </c>
      <c r="N100" s="96">
        <f t="shared" si="46"/>
        <v>9.9999999999999645E-2</v>
      </c>
      <c r="O100" s="96">
        <f t="shared" si="46"/>
        <v>9.9999999999999645E-2</v>
      </c>
      <c r="P100" s="96">
        <f t="shared" si="46"/>
        <v>9.9999999999999645E-2</v>
      </c>
      <c r="Q100" s="96">
        <f t="shared" si="46"/>
        <v>9.9999999999999645E-2</v>
      </c>
    </row>
    <row r="101" spans="4:17">
      <c r="D101" s="108" t="s">
        <v>23</v>
      </c>
      <c r="J101" s="97">
        <f>SUM(J96:J100)</f>
        <v>0</v>
      </c>
      <c r="K101" s="97">
        <f t="shared" ref="K101:Q101" si="47">SUM(K96:K100)</f>
        <v>0</v>
      </c>
      <c r="L101" s="97">
        <f t="shared" si="47"/>
        <v>0</v>
      </c>
      <c r="M101" s="97">
        <f t="shared" ca="1" si="47"/>
        <v>29.367769239136557</v>
      </c>
      <c r="N101" s="97">
        <f t="shared" ca="1" si="47"/>
        <v>34.692988928724326</v>
      </c>
      <c r="O101" s="97">
        <f t="shared" ca="1" si="47"/>
        <v>30.380001151942437</v>
      </c>
      <c r="P101" s="97">
        <f t="shared" ca="1" si="47"/>
        <v>31.256694247269365</v>
      </c>
      <c r="Q101" s="97">
        <f t="shared" ca="1" si="47"/>
        <v>32.083671424981134</v>
      </c>
    </row>
    <row r="102" spans="4:17">
      <c r="D102" s="5" t="str">
        <f>D45</f>
        <v>Equity Raisings</v>
      </c>
      <c r="J102" s="94">
        <f>J45</f>
        <v>0</v>
      </c>
      <c r="K102" s="94">
        <f t="shared" ref="K102:Q102" si="48">K45</f>
        <v>0</v>
      </c>
      <c r="L102" s="94">
        <f t="shared" si="48"/>
        <v>0</v>
      </c>
      <c r="M102" s="94">
        <f t="shared" si="48"/>
        <v>0</v>
      </c>
      <c r="N102" s="94">
        <f t="shared" si="48"/>
        <v>0</v>
      </c>
      <c r="O102" s="94">
        <f t="shared" si="48"/>
        <v>0</v>
      </c>
      <c r="P102" s="94">
        <f t="shared" si="48"/>
        <v>0</v>
      </c>
      <c r="Q102" s="94">
        <f t="shared" si="48"/>
        <v>0</v>
      </c>
    </row>
    <row r="103" spans="4:17">
      <c r="D103" s="5" t="str">
        <f>D46</f>
        <v>Equity Repayments</v>
      </c>
      <c r="J103" s="94">
        <f>J46</f>
        <v>0</v>
      </c>
      <c r="K103" s="94">
        <f t="shared" ref="K103:Q103" si="49">K46</f>
        <v>0</v>
      </c>
      <c r="L103" s="94">
        <f t="shared" si="49"/>
        <v>0</v>
      </c>
      <c r="M103" s="94">
        <f t="shared" si="49"/>
        <v>0</v>
      </c>
      <c r="N103" s="94">
        <f t="shared" si="49"/>
        <v>0</v>
      </c>
      <c r="O103" s="94">
        <f t="shared" si="49"/>
        <v>0</v>
      </c>
      <c r="P103" s="94">
        <f t="shared" si="49"/>
        <v>0</v>
      </c>
      <c r="Q103" s="94">
        <f t="shared" si="49"/>
        <v>0</v>
      </c>
    </row>
    <row r="104" spans="4:17">
      <c r="D104" s="108" t="s">
        <v>280</v>
      </c>
      <c r="J104" s="140">
        <f t="shared" ref="J104:Q104" si="50">SUM(J101:J103)</f>
        <v>0</v>
      </c>
      <c r="K104" s="140">
        <f t="shared" si="50"/>
        <v>0</v>
      </c>
      <c r="L104" s="140">
        <f t="shared" si="50"/>
        <v>0</v>
      </c>
      <c r="M104" s="140">
        <f t="shared" ca="1" si="50"/>
        <v>29.367769239136557</v>
      </c>
      <c r="N104" s="140">
        <f t="shared" ca="1" si="50"/>
        <v>34.692988928724326</v>
      </c>
      <c r="O104" s="140">
        <f t="shared" ca="1" si="50"/>
        <v>30.380001151942437</v>
      </c>
      <c r="P104" s="140">
        <f t="shared" ca="1" si="50"/>
        <v>31.256694247269365</v>
      </c>
      <c r="Q104" s="140">
        <f t="shared" ca="1" si="50"/>
        <v>32.083671424981134</v>
      </c>
    </row>
    <row r="105" spans="4:17">
      <c r="D105" s="5" t="str">
        <f>$D$47</f>
        <v>Dividends Paid During Period</v>
      </c>
      <c r="J105" s="94">
        <f t="shared" ref="J105:Q105" si="51">J$47</f>
        <v>0</v>
      </c>
      <c r="K105" s="94">
        <f t="shared" si="51"/>
        <v>0</v>
      </c>
      <c r="L105" s="94">
        <f t="shared" si="51"/>
        <v>0</v>
      </c>
      <c r="M105" s="94">
        <f t="shared" ca="1" si="51"/>
        <v>-16.153325097656253</v>
      </c>
      <c r="N105" s="94">
        <f t="shared" ca="1" si="51"/>
        <v>-16.528720725097664</v>
      </c>
      <c r="O105" s="94">
        <f t="shared" ca="1" si="51"/>
        <v>-16.914923118225101</v>
      </c>
      <c r="P105" s="94">
        <f t="shared" ca="1" si="51"/>
        <v>-17.369077446180725</v>
      </c>
      <c r="Q105" s="94">
        <f t="shared" ca="1" si="51"/>
        <v>-17.834585632335237</v>
      </c>
    </row>
    <row r="106" spans="4:17" ht="11.25" thickBot="1">
      <c r="D106" s="4" t="str">
        <f>$C$51</f>
        <v>Net Increase / (Decrease) in Cash Held</v>
      </c>
      <c r="J106" s="139">
        <f t="shared" ref="J106:Q106" si="52">SUM(J104:J105)</f>
        <v>0</v>
      </c>
      <c r="K106" s="139">
        <f t="shared" si="52"/>
        <v>0</v>
      </c>
      <c r="L106" s="139">
        <f t="shared" si="52"/>
        <v>0</v>
      </c>
      <c r="M106" s="139">
        <f t="shared" ca="1" si="52"/>
        <v>13.214444141480303</v>
      </c>
      <c r="N106" s="139">
        <f t="shared" ca="1" si="52"/>
        <v>18.164268203626662</v>
      </c>
      <c r="O106" s="139">
        <f t="shared" ca="1" si="52"/>
        <v>13.465078033717337</v>
      </c>
      <c r="P106" s="139">
        <f t="shared" ca="1" si="52"/>
        <v>13.88761680108864</v>
      </c>
      <c r="Q106" s="139">
        <f t="shared" ca="1" si="52"/>
        <v>14.249085792645896</v>
      </c>
    </row>
    <row r="107" spans="4:17" ht="11.25" thickTop="1"/>
    <row r="108" spans="4:17" hidden="1" outlineLevel="2">
      <c r="E108" s="107" t="s">
        <v>24</v>
      </c>
      <c r="J108" s="141">
        <f t="shared" ref="J108:Q108" si="53">IF(ISERROR(J31+J39+J49-J51),1,0)</f>
        <v>0</v>
      </c>
      <c r="K108" s="141">
        <f t="shared" si="53"/>
        <v>0</v>
      </c>
      <c r="L108" s="141">
        <f t="shared" si="53"/>
        <v>0</v>
      </c>
      <c r="M108" s="141">
        <f t="shared" ca="1" si="53"/>
        <v>0</v>
      </c>
      <c r="N108" s="141">
        <f t="shared" ca="1" si="53"/>
        <v>0</v>
      </c>
      <c r="O108" s="141">
        <f t="shared" ca="1" si="53"/>
        <v>0</v>
      </c>
      <c r="P108" s="141">
        <f t="shared" ca="1" si="53"/>
        <v>0</v>
      </c>
      <c r="Q108" s="141">
        <f t="shared" ca="1" si="53"/>
        <v>0</v>
      </c>
    </row>
    <row r="109" spans="4:17" hidden="1" outlineLevel="2">
      <c r="E109" s="107" t="s">
        <v>26</v>
      </c>
      <c r="J109" s="141">
        <f t="shared" ref="J109:Q109" si="54">IF(ISERROR(J68+J76+J86-J88),1,0)</f>
        <v>0</v>
      </c>
      <c r="K109" s="141">
        <f t="shared" si="54"/>
        <v>0</v>
      </c>
      <c r="L109" s="141">
        <f t="shared" si="54"/>
        <v>0</v>
      </c>
      <c r="M109" s="141">
        <f t="shared" ca="1" si="54"/>
        <v>0</v>
      </c>
      <c r="N109" s="141">
        <f t="shared" ca="1" si="54"/>
        <v>0</v>
      </c>
      <c r="O109" s="141">
        <f t="shared" ca="1" si="54"/>
        <v>0</v>
      </c>
      <c r="P109" s="141">
        <f t="shared" ca="1" si="54"/>
        <v>0</v>
      </c>
      <c r="Q109" s="141">
        <f t="shared" ca="1" si="54"/>
        <v>0</v>
      </c>
    </row>
    <row r="110" spans="4:17" hidden="1" outlineLevel="2">
      <c r="E110" s="107" t="s">
        <v>25</v>
      </c>
      <c r="J110" s="142">
        <f t="shared" ref="J110:Q110" si="55">IF(J108&lt;&gt;0,0,IF(ROUND(J31+J39+J49-J51,5)&lt;&gt;0,1,0))</f>
        <v>0</v>
      </c>
      <c r="K110" s="142">
        <f t="shared" si="55"/>
        <v>0</v>
      </c>
      <c r="L110" s="142">
        <f t="shared" si="55"/>
        <v>0</v>
      </c>
      <c r="M110" s="142">
        <f t="shared" ca="1" si="55"/>
        <v>0</v>
      </c>
      <c r="N110" s="142">
        <f t="shared" ca="1" si="55"/>
        <v>0</v>
      </c>
      <c r="O110" s="142">
        <f t="shared" ca="1" si="55"/>
        <v>0</v>
      </c>
      <c r="P110" s="142">
        <f t="shared" ca="1" si="55"/>
        <v>0</v>
      </c>
      <c r="Q110" s="142">
        <f t="shared" ca="1" si="55"/>
        <v>0</v>
      </c>
    </row>
    <row r="111" spans="4:17" hidden="1" outlineLevel="2">
      <c r="E111" s="107" t="s">
        <v>27</v>
      </c>
      <c r="J111" s="142">
        <f t="shared" ref="J111:Q111" si="56">IF(J109&lt;&gt;0,0,IF(ROUND(J68+J76+J86-J88,5)&lt;&gt;0,1,0))</f>
        <v>0</v>
      </c>
      <c r="K111" s="142">
        <f t="shared" si="56"/>
        <v>0</v>
      </c>
      <c r="L111" s="142">
        <f t="shared" si="56"/>
        <v>0</v>
      </c>
      <c r="M111" s="142">
        <f t="shared" ca="1" si="56"/>
        <v>0</v>
      </c>
      <c r="N111" s="142">
        <f t="shared" ca="1" si="56"/>
        <v>0</v>
      </c>
      <c r="O111" s="142">
        <f t="shared" ca="1" si="56"/>
        <v>0</v>
      </c>
      <c r="P111" s="142">
        <f t="shared" ca="1" si="56"/>
        <v>0</v>
      </c>
      <c r="Q111" s="142">
        <f t="shared" ca="1" si="56"/>
        <v>0</v>
      </c>
    </row>
    <row r="112" spans="4:17" hidden="1" outlineLevel="2">
      <c r="E112" s="107" t="s">
        <v>28</v>
      </c>
      <c r="J112" s="142">
        <f t="shared" ref="J112:Q112" si="57">IF(OR(J108&lt;&gt;0,J109&lt;&gt;0),0,IF(ROUND(J51-J88,5)&lt;&gt;0,1,0))</f>
        <v>0</v>
      </c>
      <c r="K112" s="142">
        <f t="shared" si="57"/>
        <v>0</v>
      </c>
      <c r="L112" s="142">
        <f t="shared" si="57"/>
        <v>0</v>
      </c>
      <c r="M112" s="142">
        <f t="shared" ca="1" si="57"/>
        <v>0</v>
      </c>
      <c r="N112" s="142">
        <f t="shared" ca="1" si="57"/>
        <v>0</v>
      </c>
      <c r="O112" s="142">
        <f t="shared" ca="1" si="57"/>
        <v>0</v>
      </c>
      <c r="P112" s="142">
        <f t="shared" ca="1" si="57"/>
        <v>0</v>
      </c>
      <c r="Q112" s="142">
        <f t="shared" ca="1" si="57"/>
        <v>0</v>
      </c>
    </row>
    <row r="113" spans="3:17" hidden="1" outlineLevel="2">
      <c r="E113" s="107" t="s">
        <v>29</v>
      </c>
      <c r="J113" s="124">
        <f t="shared" ref="J113:Q113" si="58">IF(J108&lt;&gt;0,0,IF(ROUND(J88-J106,5)&lt;&gt;0,1,0))</f>
        <v>0</v>
      </c>
      <c r="K113" s="124">
        <f t="shared" si="58"/>
        <v>0</v>
      </c>
      <c r="L113" s="124">
        <f t="shared" si="58"/>
        <v>0</v>
      </c>
      <c r="M113" s="124">
        <f t="shared" ca="1" si="58"/>
        <v>0</v>
      </c>
      <c r="N113" s="124">
        <f t="shared" ca="1" si="58"/>
        <v>0</v>
      </c>
      <c r="O113" s="124">
        <f t="shared" ca="1" si="58"/>
        <v>0</v>
      </c>
      <c r="P113" s="124">
        <f t="shared" ca="1" si="58"/>
        <v>0</v>
      </c>
      <c r="Q113" s="124">
        <f t="shared" ca="1" si="58"/>
        <v>0</v>
      </c>
    </row>
    <row r="114" spans="3:17" collapsed="1">
      <c r="D114" s="107" t="s">
        <v>410</v>
      </c>
      <c r="I114" s="98">
        <f ca="1">IF(ISERROR(SUM(J114:Q114)),0,MIN(SUM(J114:Q114),1))</f>
        <v>0</v>
      </c>
      <c r="J114" s="95">
        <f t="shared" ref="J114:Q114" si="59">MIN(SUM(J108:J113),1)</f>
        <v>0</v>
      </c>
      <c r="K114" s="95">
        <f t="shared" si="59"/>
        <v>0</v>
      </c>
      <c r="L114" s="95">
        <f t="shared" si="59"/>
        <v>0</v>
      </c>
      <c r="M114" s="95">
        <f t="shared" ca="1" si="59"/>
        <v>0</v>
      </c>
      <c r="N114" s="95">
        <f t="shared" ca="1" si="59"/>
        <v>0</v>
      </c>
      <c r="O114" s="95">
        <f t="shared" ca="1" si="59"/>
        <v>0</v>
      </c>
      <c r="P114" s="95">
        <f t="shared" ca="1" si="59"/>
        <v>0</v>
      </c>
      <c r="Q114" s="95">
        <f t="shared" ca="1" si="59"/>
        <v>0</v>
      </c>
    </row>
    <row r="116" spans="3:17" s="15" customFormat="1">
      <c r="C116" s="161" t="s">
        <v>203</v>
      </c>
    </row>
    <row r="117" spans="3:17" s="15" customFormat="1">
      <c r="C117" s="138">
        <v>1</v>
      </c>
      <c r="D117" s="116" t="str">
        <f>"All values are stated in "&amp;INDEX(LU_Denom,DD_TS_Denom)&amp;" unless stated otherwise."</f>
        <v>All values are stated in $Millions unless stated otherwise.</v>
      </c>
    </row>
    <row r="118" spans="3:17" s="15" customFormat="1"/>
    <row r="119" spans="3:17" s="15" customFormat="1">
      <c r="C119" s="106" t="str">
        <f>"Go to "&amp;Err_Chk_11_Hdg</f>
        <v>Go to Income Statement - Forecast Outputs</v>
      </c>
      <c r="D119" s="8"/>
      <c r="E119" s="8"/>
      <c r="F119" s="8"/>
      <c r="G119" s="8"/>
      <c r="H119" s="8"/>
      <c r="I119" s="8"/>
    </row>
    <row r="120" spans="3:17" s="15" customFormat="1">
      <c r="C120" s="106" t="str">
        <f>"Go to "&amp;BS_Fcast_TO!$B$1</f>
        <v>Go to Balance Sheet - Forecast Outputs</v>
      </c>
      <c r="D120" s="8"/>
      <c r="E120" s="8"/>
      <c r="F120" s="8"/>
      <c r="G120" s="8"/>
      <c r="H120" s="8"/>
      <c r="I120" s="8"/>
    </row>
  </sheetData>
  <mergeCells count="1">
    <mergeCell ref="B3:F3"/>
  </mergeCells>
  <conditionalFormatting sqref="J108:Q114 I114">
    <cfRule type="cellIs" dxfId="52" priority="2" stopIfTrue="1" operator="notEqual">
      <formula>0</formula>
    </cfRule>
  </conditionalFormatting>
  <conditionalFormatting sqref="D114">
    <cfRule type="expression" dxfId="51" priority="1" stopIfTrue="1">
      <formula>I114&lt;&gt;0</formula>
    </cfRule>
  </conditionalFormatting>
  <hyperlinks>
    <hyperlink ref="C119:I119" location="HL_Sheet_Main_35" tooltip="Go to Income Statement" display="HL_Sheet_Main_35"/>
    <hyperlink ref="C120:I120" location="HL_Sheet_Main_36" tooltip="Go to Balance Sheet" display="HL_Sheet_Main_36"/>
    <hyperlink ref="B3" location="HL_Home" tooltip="Go to Table of Contents" display="HL_Home"/>
    <hyperlink ref="A4" location="$B$14" tooltip="Go to Top of Sheet" display="$B$14"/>
    <hyperlink ref="B4" location="HL_Sheet_Main_36" tooltip="Go to Previous Sheet" display="HL_Sheet_Main_36"/>
    <hyperlink ref="C4" location="HL_Sheet_Main_18" tooltip="Go to Next Sheet" display="HL_Sheet_Main_18"/>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95" orientation="landscape" r:id="rId1"/>
  <headerFooter>
    <oddFooter>&amp;L&amp;F
&amp;A
Printed: &amp;T on &amp;D&amp;CPage &amp;P of &amp;N</oddFooter>
  </headerFooter>
  <rowBreaks count="2" manualBreakCount="2">
    <brk id="53" min="1" max="16" man="1"/>
    <brk id="90" min="1" max="16" man="1"/>
  </rowBreaks>
  <legacyDrawing r:id="rId2"/>
  <legacyDrawingHF r:id="rId3"/>
</worksheet>
</file>

<file path=xl/worksheets/sheet27.xml><?xml version="1.0" encoding="utf-8"?>
<worksheet xmlns="http://schemas.openxmlformats.org/spreadsheetml/2006/main" xmlns:r="http://schemas.openxmlformats.org/officeDocument/2006/relationships">
  <sheetPr codeName="Sheet25">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548</v>
      </c>
    </row>
    <row r="10" spans="3:7" ht="16.5">
      <c r="C10" s="27" t="s">
        <v>512</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205" t="s">
        <v>549</v>
      </c>
    </row>
    <row r="19" spans="3:3">
      <c r="C19" s="177"/>
    </row>
    <row r="20" spans="3:3">
      <c r="C20" s="177"/>
    </row>
  </sheetData>
  <mergeCells count="1">
    <mergeCell ref="C12:G12"/>
  </mergeCells>
  <hyperlinks>
    <hyperlink ref="C12" location="HL_Home" tooltip="Go to Table of Contents" display="HL_Home"/>
    <hyperlink ref="C13" location="HL_Sheet_Main_37" tooltip="Go to Previous Sheet" display="HL_Sheet_Main_37"/>
    <hyperlink ref="D13" location="HL_Sheet_Main_17" tooltip="Go to Next Sheet" display="HL_Sheet_Main_17"/>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8.xml><?xml version="1.0" encoding="utf-8"?>
<worksheet xmlns="http://schemas.openxmlformats.org/spreadsheetml/2006/main" xmlns:r="http://schemas.openxmlformats.org/officeDocument/2006/relationships">
  <sheetPr codeName="Sheet24">
    <pageSetUpPr autoPageBreaks="0"/>
  </sheetPr>
  <dimension ref="A1:Q43"/>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552</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IS_Hist_TA!B16</f>
        <v>Income Statement</v>
      </c>
    </row>
    <row r="17" spans="3:17" s="24" customFormat="1"/>
    <row r="18" spans="3:17" s="24" customFormat="1">
      <c r="D18" s="203" t="str">
        <f>IS_Hist_TA!D18</f>
        <v>Revenue</v>
      </c>
      <c r="J18" s="219">
        <f>IS_Hist_TO!J18+IS_Fcast_TO!J18</f>
        <v>125</v>
      </c>
      <c r="K18" s="219">
        <f>IS_Hist_TO!K18+IS_Fcast_TO!K18</f>
        <v>128.125</v>
      </c>
      <c r="L18" s="219">
        <f>IS_Hist_TO!L18+IS_Fcast_TO!L18</f>
        <v>131.328125</v>
      </c>
      <c r="M18" s="219">
        <f>IS_Hist_TO!M18+IS_Fcast_TO!M18</f>
        <v>134.611328125</v>
      </c>
      <c r="N18" s="219">
        <f>IS_Hist_TO!N18+IS_Fcast_TO!N18</f>
        <v>137.97661132812499</v>
      </c>
      <c r="O18" s="219">
        <f>IS_Hist_TO!O18+IS_Fcast_TO!O18</f>
        <v>141.4260266113281</v>
      </c>
      <c r="P18" s="219">
        <f>IS_Hist_TO!P18+IS_Fcast_TO!P18</f>
        <v>144.96167727661128</v>
      </c>
      <c r="Q18" s="219">
        <f>IS_Hist_TO!Q18+IS_Fcast_TO!Q18</f>
        <v>148.58571920852654</v>
      </c>
    </row>
    <row r="19" spans="3:17" s="24" customFormat="1">
      <c r="D19" s="203" t="str">
        <f>IS_Hist_TA!D19</f>
        <v>Cost of Goods Sold</v>
      </c>
      <c r="J19" s="219">
        <f>IS_Hist_TO!J19+IS_Fcast_TO!J19</f>
        <v>-25</v>
      </c>
      <c r="K19" s="219">
        <f>IS_Hist_TO!K19+IS_Fcast_TO!K19</f>
        <v>-25.624999999999996</v>
      </c>
      <c r="L19" s="219">
        <f>IS_Hist_TO!L19+IS_Fcast_TO!L19</f>
        <v>-26.265624999999993</v>
      </c>
      <c r="M19" s="219">
        <f>IS_Hist_TO!M19+IS_Fcast_TO!M19</f>
        <v>-26.922265624999991</v>
      </c>
      <c r="N19" s="219">
        <f>IS_Hist_TO!N19+IS_Fcast_TO!N19</f>
        <v>-27.59532226562499</v>
      </c>
      <c r="O19" s="219">
        <f>IS_Hist_TO!O19+IS_Fcast_TO!O19</f>
        <v>-28.285205322265611</v>
      </c>
      <c r="P19" s="219">
        <f>IS_Hist_TO!P19+IS_Fcast_TO!P19</f>
        <v>-28.992335455322248</v>
      </c>
      <c r="Q19" s="219">
        <f>IS_Hist_TO!Q19+IS_Fcast_TO!Q19</f>
        <v>-29.717143841705301</v>
      </c>
    </row>
    <row r="20" spans="3:17" s="24" customFormat="1">
      <c r="J20" s="143"/>
      <c r="K20" s="143"/>
      <c r="L20" s="143"/>
      <c r="M20" s="143"/>
      <c r="N20" s="143"/>
      <c r="O20" s="143"/>
      <c r="P20" s="143"/>
      <c r="Q20" s="143"/>
    </row>
    <row r="21" spans="3:17" s="24" customFormat="1" ht="11.25">
      <c r="C21" s="216" t="str">
        <f>IS_Hist_TA!C21</f>
        <v>Gross Margin</v>
      </c>
      <c r="J21" s="211">
        <f t="shared" ref="J21:Q21" si="8">J18+J19</f>
        <v>100</v>
      </c>
      <c r="K21" s="211">
        <f t="shared" si="8"/>
        <v>102.5</v>
      </c>
      <c r="L21" s="211">
        <f t="shared" si="8"/>
        <v>105.0625</v>
      </c>
      <c r="M21" s="211">
        <f t="shared" si="8"/>
        <v>107.68906250000001</v>
      </c>
      <c r="N21" s="211">
        <f t="shared" si="8"/>
        <v>110.3812890625</v>
      </c>
      <c r="O21" s="211">
        <f t="shared" si="8"/>
        <v>113.14082128906249</v>
      </c>
      <c r="P21" s="211">
        <f t="shared" si="8"/>
        <v>115.96934182128904</v>
      </c>
      <c r="Q21" s="211">
        <f t="shared" si="8"/>
        <v>118.86857536682123</v>
      </c>
    </row>
    <row r="22" spans="3:17" s="24" customFormat="1">
      <c r="J22" s="143"/>
      <c r="K22" s="143"/>
      <c r="L22" s="143"/>
      <c r="M22" s="143"/>
      <c r="N22" s="143"/>
      <c r="O22" s="143"/>
      <c r="P22" s="143"/>
      <c r="Q22" s="143"/>
    </row>
    <row r="23" spans="3:17" s="24" customFormat="1">
      <c r="D23" s="203" t="str">
        <f>IS_Hist_TA!D23</f>
        <v>Operating Expenditure</v>
      </c>
      <c r="J23" s="219">
        <f>IS_Hist_TO!J23+IS_Fcast_TO!J23</f>
        <v>-40</v>
      </c>
      <c r="K23" s="219">
        <f>IS_Hist_TO!K23+IS_Fcast_TO!K23</f>
        <v>-41</v>
      </c>
      <c r="L23" s="219">
        <f>IS_Hist_TO!L23+IS_Fcast_TO!L23</f>
        <v>-42.024999999999999</v>
      </c>
      <c r="M23" s="219">
        <f>IS_Hist_TO!M23+IS_Fcast_TO!M23</f>
        <v>-43.075624999999995</v>
      </c>
      <c r="N23" s="219">
        <f>IS_Hist_TO!N23+IS_Fcast_TO!N23</f>
        <v>-44.152515624999992</v>
      </c>
      <c r="O23" s="219">
        <f>IS_Hist_TO!O23+IS_Fcast_TO!O23</f>
        <v>-45.256328515624986</v>
      </c>
      <c r="P23" s="219">
        <f>IS_Hist_TO!P23+IS_Fcast_TO!P23</f>
        <v>-46.387736728515605</v>
      </c>
      <c r="Q23" s="219">
        <f>IS_Hist_TO!Q23+IS_Fcast_TO!Q23</f>
        <v>-47.547430146728495</v>
      </c>
    </row>
    <row r="24" spans="3:17" s="24" customFormat="1">
      <c r="J24" s="143"/>
      <c r="K24" s="143"/>
      <c r="L24" s="143"/>
      <c r="M24" s="143"/>
      <c r="N24" s="143"/>
      <c r="O24" s="143"/>
      <c r="P24" s="143"/>
      <c r="Q24" s="143"/>
    </row>
    <row r="25" spans="3:17" s="24" customFormat="1" ht="11.25">
      <c r="C25" s="216" t="str">
        <f>IS_Hist_TA!C25</f>
        <v>EBITDA</v>
      </c>
      <c r="J25" s="211">
        <f t="shared" ref="J25:Q25" si="9">J21+J23</f>
        <v>60</v>
      </c>
      <c r="K25" s="211">
        <f t="shared" si="9"/>
        <v>61.5</v>
      </c>
      <c r="L25" s="211">
        <f t="shared" si="9"/>
        <v>63.037500000000001</v>
      </c>
      <c r="M25" s="211">
        <f t="shared" si="9"/>
        <v>64.613437500000003</v>
      </c>
      <c r="N25" s="211">
        <f t="shared" si="9"/>
        <v>66.22877343750001</v>
      </c>
      <c r="O25" s="211">
        <f t="shared" si="9"/>
        <v>67.884492773437501</v>
      </c>
      <c r="P25" s="211">
        <f t="shared" si="9"/>
        <v>69.58160509277343</v>
      </c>
      <c r="Q25" s="211">
        <f t="shared" si="9"/>
        <v>71.321145220092745</v>
      </c>
    </row>
    <row r="26" spans="3:17" s="24" customFormat="1">
      <c r="J26" s="143"/>
      <c r="K26" s="143"/>
      <c r="L26" s="143"/>
      <c r="M26" s="143"/>
      <c r="N26" s="143"/>
      <c r="O26" s="143"/>
      <c r="P26" s="143"/>
      <c r="Q26" s="143"/>
    </row>
    <row r="27" spans="3:17" s="24" customFormat="1" hidden="1" outlineLevel="2">
      <c r="E27" s="203" t="str">
        <f>IS_Hist_TA!E27</f>
        <v>Depreciation</v>
      </c>
      <c r="J27" s="219">
        <f>IS_Hist_TA!J27</f>
        <v>-13.5</v>
      </c>
      <c r="K27" s="219">
        <f>IS_Hist_TA!K27</f>
        <v>-13.837499999999999</v>
      </c>
      <c r="L27" s="219">
        <f>IS_Hist_TA!L27</f>
        <v>-14.183437499999997</v>
      </c>
      <c r="M27" s="219">
        <f>IS_Hist_TA!M27</f>
        <v>-14.538023437499994</v>
      </c>
      <c r="N27" s="219">
        <f>IS_Hist_TA!N27</f>
        <v>-14.901474023437492</v>
      </c>
      <c r="O27" s="219">
        <f>IS_Hist_TA!O27</f>
        <v>-15.274010874023428</v>
      </c>
      <c r="P27" s="219">
        <f>IS_Hist_TA!P27</f>
        <v>-15.655861145874013</v>
      </c>
      <c r="Q27" s="219">
        <f>IS_Hist_TA!Q27</f>
        <v>-16.047257674520861</v>
      </c>
    </row>
    <row r="28" spans="3:17" s="24" customFormat="1" hidden="1" outlineLevel="2">
      <c r="E28" s="203" t="str">
        <f>IS_Hist_TA!E28</f>
        <v>Amortization</v>
      </c>
      <c r="J28" s="176">
        <f>IS_Hist_TA!J28</f>
        <v>-0.625</v>
      </c>
      <c r="K28" s="176">
        <f>IS_Hist_TA!K28</f>
        <v>-0.640625</v>
      </c>
      <c r="L28" s="176">
        <f>IS_Hist_TA!L28</f>
        <v>-0.65664062499999998</v>
      </c>
      <c r="M28" s="176">
        <f>IS_Hist_TA!M28</f>
        <v>-0.67305664062499992</v>
      </c>
      <c r="N28" s="176">
        <f>IS_Hist_TA!N28</f>
        <v>-0.68988305664062488</v>
      </c>
      <c r="O28" s="176">
        <f>IS_Hist_TA!O28</f>
        <v>-0.70713013305664041</v>
      </c>
      <c r="P28" s="176">
        <f>IS_Hist_TA!P28</f>
        <v>-0.72480838638305634</v>
      </c>
      <c r="Q28" s="176">
        <f>IS_Hist_TA!Q28</f>
        <v>-0.74292859604263273</v>
      </c>
    </row>
    <row r="29" spans="3:17" s="24" customFormat="1" collapsed="1">
      <c r="D29" s="203" t="str">
        <f>IS_Hist_TA!D29</f>
        <v>Depreciation &amp; Amortization</v>
      </c>
      <c r="J29" s="219">
        <f>IS_Hist_TO!J29+IS_Fcast_TO!J29</f>
        <v>-14.125</v>
      </c>
      <c r="K29" s="219">
        <f>IS_Hist_TO!K29+IS_Fcast_TO!K29</f>
        <v>-14.478124999999999</v>
      </c>
      <c r="L29" s="219">
        <f>IS_Hist_TO!L29+IS_Fcast_TO!L29</f>
        <v>-14.840078124999996</v>
      </c>
      <c r="M29" s="219">
        <f>IS_Hist_TO!M29+IS_Fcast_TO!M29</f>
        <v>-15.211080078124994</v>
      </c>
      <c r="N29" s="219">
        <f>IS_Hist_TO!N29+IS_Fcast_TO!N29</f>
        <v>-15.591357080078117</v>
      </c>
      <c r="O29" s="219">
        <f>IS_Hist_TO!O29+IS_Fcast_TO!O29</f>
        <v>-15.981141007080069</v>
      </c>
      <c r="P29" s="219">
        <f>IS_Hist_TO!P29+IS_Fcast_TO!P29</f>
        <v>-16.38066953225707</v>
      </c>
      <c r="Q29" s="219">
        <f>IS_Hist_TO!Q29+IS_Fcast_TO!Q29</f>
        <v>-16.790186270563492</v>
      </c>
    </row>
    <row r="30" spans="3:17" s="24" customFormat="1">
      <c r="J30" s="143"/>
      <c r="K30" s="143"/>
      <c r="L30" s="143"/>
      <c r="M30" s="143"/>
      <c r="N30" s="143"/>
      <c r="O30" s="143"/>
      <c r="P30" s="143"/>
      <c r="Q30" s="143"/>
    </row>
    <row r="31" spans="3:17" s="24" customFormat="1" ht="11.25">
      <c r="C31" s="216" t="str">
        <f>IS_Hist_TA!C31</f>
        <v>EBIT</v>
      </c>
      <c r="J31" s="211">
        <f t="shared" ref="J31:Q31" si="10">J25+J29</f>
        <v>45.875</v>
      </c>
      <c r="K31" s="211">
        <f t="shared" si="10"/>
        <v>47.021875000000001</v>
      </c>
      <c r="L31" s="211">
        <f t="shared" si="10"/>
        <v>48.197421875000003</v>
      </c>
      <c r="M31" s="211">
        <f t="shared" si="10"/>
        <v>49.40235742187501</v>
      </c>
      <c r="N31" s="211">
        <f t="shared" si="10"/>
        <v>50.637416357421891</v>
      </c>
      <c r="O31" s="211">
        <f t="shared" si="10"/>
        <v>51.903351766357432</v>
      </c>
      <c r="P31" s="211">
        <f t="shared" si="10"/>
        <v>53.200935560516356</v>
      </c>
      <c r="Q31" s="211">
        <f t="shared" si="10"/>
        <v>54.53095894952925</v>
      </c>
    </row>
    <row r="32" spans="3:17" s="24" customFormat="1">
      <c r="J32" s="143"/>
      <c r="K32" s="143"/>
      <c r="L32" s="143"/>
      <c r="M32" s="143"/>
      <c r="N32" s="143"/>
      <c r="O32" s="143"/>
      <c r="P32" s="143"/>
      <c r="Q32" s="143"/>
    </row>
    <row r="33" spans="3:17" s="24" customFormat="1">
      <c r="D33" s="203" t="str">
        <f>IS_Hist_TA!D33</f>
        <v>Interest Expense</v>
      </c>
      <c r="J33" s="219">
        <f>IS_Hist_TO!J33+IS_Fcast_TO!J33</f>
        <v>-3.25</v>
      </c>
      <c r="K33" s="219">
        <f>IS_Hist_TO!K33+IS_Fcast_TO!K33</f>
        <v>-3.25</v>
      </c>
      <c r="L33" s="219">
        <f>IS_Hist_TO!L33+IS_Fcast_TO!L33</f>
        <v>-3.25</v>
      </c>
      <c r="M33" s="219">
        <f ca="1">IS_Hist_TO!M33+IS_Fcast_TO!M33</f>
        <v>-3.25</v>
      </c>
      <c r="N33" s="219">
        <f ca="1">IS_Hist_TO!N33+IS_Fcast_TO!N33</f>
        <v>-3.4125000000000001</v>
      </c>
      <c r="O33" s="219">
        <f ca="1">IS_Hist_TO!O33+IS_Fcast_TO!O33</f>
        <v>-3.5750000000000002</v>
      </c>
      <c r="P33" s="219">
        <f ca="1">IS_Hist_TO!P33+IS_Fcast_TO!P33</f>
        <v>-3.5750000000000002</v>
      </c>
      <c r="Q33" s="219">
        <f ca="1">IS_Hist_TO!Q33+IS_Fcast_TO!Q33</f>
        <v>-3.5750000000000002</v>
      </c>
    </row>
    <row r="34" spans="3:17" s="24" customFormat="1">
      <c r="J34" s="143"/>
      <c r="K34" s="143"/>
      <c r="L34" s="143"/>
      <c r="M34" s="143"/>
      <c r="N34" s="143"/>
      <c r="O34" s="143"/>
      <c r="P34" s="143"/>
      <c r="Q34" s="143"/>
    </row>
    <row r="35" spans="3:17" s="24" customFormat="1" ht="11.25">
      <c r="C35" s="216" t="str">
        <f>IS_Hist_TA!C35</f>
        <v>Net Profit Before Tax</v>
      </c>
      <c r="J35" s="211">
        <f t="shared" ref="J35:Q35" si="11">J31+J33</f>
        <v>42.625</v>
      </c>
      <c r="K35" s="211">
        <f t="shared" si="11"/>
        <v>43.771875000000001</v>
      </c>
      <c r="L35" s="211">
        <f t="shared" si="11"/>
        <v>44.947421875000003</v>
      </c>
      <c r="M35" s="211">
        <f t="shared" ca="1" si="11"/>
        <v>46.15235742187501</v>
      </c>
      <c r="N35" s="211">
        <f t="shared" ca="1" si="11"/>
        <v>47.22491635742189</v>
      </c>
      <c r="O35" s="211">
        <f t="shared" ca="1" si="11"/>
        <v>48.328351766357429</v>
      </c>
      <c r="P35" s="211">
        <f t="shared" ca="1" si="11"/>
        <v>49.625935560516353</v>
      </c>
      <c r="Q35" s="211">
        <f t="shared" ca="1" si="11"/>
        <v>50.955958949529247</v>
      </c>
    </row>
    <row r="36" spans="3:17" s="24" customFormat="1">
      <c r="J36" s="143"/>
      <c r="K36" s="143"/>
      <c r="L36" s="143"/>
      <c r="M36" s="143"/>
      <c r="N36" s="143"/>
      <c r="O36" s="143"/>
      <c r="P36" s="143"/>
      <c r="Q36" s="143"/>
    </row>
    <row r="37" spans="3:17" s="24" customFormat="1">
      <c r="D37" s="203" t="str">
        <f>IS_Hist_TA!D37</f>
        <v>Tax Expense / (Benefit)</v>
      </c>
      <c r="J37" s="219">
        <f>IS_Hist_TO!J37+IS_Fcast_TO!J37</f>
        <v>-12.7875</v>
      </c>
      <c r="K37" s="219">
        <f>IS_Hist_TO!K37+IS_Fcast_TO!K37</f>
        <v>-13.131562499999999</v>
      </c>
      <c r="L37" s="219">
        <f>IS_Hist_TO!L37+IS_Fcast_TO!L37</f>
        <v>-13.4842265625</v>
      </c>
      <c r="M37" s="219">
        <f ca="1">IS_Hist_TO!M37+IS_Fcast_TO!M37</f>
        <v>-13.845707226562503</v>
      </c>
      <c r="N37" s="219">
        <f ca="1">IS_Hist_TO!N37+IS_Fcast_TO!N37</f>
        <v>-14.167474907226566</v>
      </c>
      <c r="O37" s="219">
        <f ca="1">IS_Hist_TO!O37+IS_Fcast_TO!O37</f>
        <v>-14.498505529907227</v>
      </c>
      <c r="P37" s="219">
        <f ca="1">IS_Hist_TO!P37+IS_Fcast_TO!P37</f>
        <v>-14.887780668154907</v>
      </c>
      <c r="Q37" s="219">
        <f ca="1">IS_Hist_TO!Q37+IS_Fcast_TO!Q37</f>
        <v>-15.286787684858773</v>
      </c>
    </row>
    <row r="38" spans="3:17" s="24" customFormat="1">
      <c r="J38" s="143"/>
      <c r="K38" s="143"/>
      <c r="L38" s="143"/>
      <c r="M38" s="143"/>
      <c r="N38" s="143"/>
      <c r="O38" s="143"/>
      <c r="P38" s="143"/>
      <c r="Q38" s="143"/>
    </row>
    <row r="39" spans="3:17" s="24" customFormat="1" ht="12.75" thickBot="1">
      <c r="C39" s="217" t="str">
        <f>IS_Hist_TA!C39</f>
        <v>Net Profit After Tax</v>
      </c>
      <c r="J39" s="213">
        <f t="shared" ref="J39:Q39" si="12">J35+J37</f>
        <v>29.837499999999999</v>
      </c>
      <c r="K39" s="213">
        <f t="shared" si="12"/>
        <v>30.6403125</v>
      </c>
      <c r="L39" s="213">
        <f t="shared" si="12"/>
        <v>31.463195312500005</v>
      </c>
      <c r="M39" s="213">
        <f t="shared" ca="1" si="12"/>
        <v>32.306650195312507</v>
      </c>
      <c r="N39" s="213">
        <f t="shared" ca="1" si="12"/>
        <v>33.057441450195327</v>
      </c>
      <c r="O39" s="213">
        <f t="shared" ca="1" si="12"/>
        <v>33.829846236450202</v>
      </c>
      <c r="P39" s="213">
        <f t="shared" ca="1" si="12"/>
        <v>34.73815489236145</v>
      </c>
      <c r="Q39" s="213">
        <f t="shared" ca="1" si="12"/>
        <v>35.669171264670474</v>
      </c>
    </row>
    <row r="40" spans="3:17" s="24" customFormat="1" ht="11.25" thickTop="1"/>
    <row r="41" spans="3:17" s="24" customFormat="1">
      <c r="C41" s="179" t="str">
        <f>IS_Hist_TA!C41</f>
        <v>Notes</v>
      </c>
    </row>
    <row r="42" spans="3:17" s="24" customFormat="1">
      <c r="C42" s="218">
        <f>IS_Hist_TA!C42</f>
        <v>1</v>
      </c>
      <c r="D42" s="214" t="str">
        <f>"All revenues and expenses are specified in "&amp;INDEX(LU_Denom,DD_TS_Denom)&amp;"."</f>
        <v>All revenues and expenses are specified in $Millions.</v>
      </c>
    </row>
    <row r="43" spans="3:17" s="24" customFormat="1">
      <c r="C43" s="218">
        <f>IS_Hist_TA!C43</f>
        <v>2</v>
      </c>
      <c r="D43" s="202" t="s">
        <v>539</v>
      </c>
    </row>
  </sheetData>
  <mergeCells count="1">
    <mergeCell ref="B3:F3"/>
  </mergeCells>
  <dataValidations count="1">
    <dataValidation type="custom" showErrorMessage="1" errorTitle="Invalid Assumption" error="Assumption must be a number." sqref="J27:Q29 J33:Q33 J23:Q23 J18:Q19 J37:Q37">
      <formula1>NOT(ISERROR(J18/1))</formula1>
    </dataValidation>
  </dataValidations>
  <hyperlinks>
    <hyperlink ref="B3" location="HL_Home" tooltip="Go to Table of Contents" display="HL_Home"/>
    <hyperlink ref="A4" location="$B$14" tooltip="Go to Top of Sheet" display="$B$14"/>
    <hyperlink ref="B4" location="HL_Sheet_Main_18" tooltip="Go to Previous Sheet" display="HL_Sheet_Main_18"/>
    <hyperlink ref="C4" location="HL_Sheet_Main_32" tooltip="Go to Next Sheet" display="HL_Sheet_Main_32"/>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29.xml><?xml version="1.0" encoding="utf-8"?>
<worksheet xmlns="http://schemas.openxmlformats.org/spreadsheetml/2006/main" xmlns:r="http://schemas.openxmlformats.org/officeDocument/2006/relationships">
  <sheetPr codeName="Sheet38">
    <pageSetUpPr autoPageBreaks="0"/>
  </sheetPr>
  <dimension ref="A1:Q77"/>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 min="13" max="13" width="12.83203125" customWidth="1"/>
  </cols>
  <sheetData>
    <row r="1" spans="1:17" ht="18">
      <c r="B1" s="1" t="s">
        <v>551</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24" customFormat="1" ht="12.75">
      <c r="B16" s="215" t="str">
        <f>BS_Hist_TA!B16</f>
        <v>Balance Sheet</v>
      </c>
      <c r="I16" s="226" t="s">
        <v>530</v>
      </c>
    </row>
    <row r="17" spans="3:17" s="24" customFormat="1">
      <c r="I17" s="227">
        <f>TS_Start_Date</f>
        <v>40179</v>
      </c>
    </row>
    <row r="18" spans="3:17" s="24" customFormat="1" ht="11.25">
      <c r="C18" s="216" t="str">
        <f>BS_Hist_TA!C18</f>
        <v>Current Assets</v>
      </c>
      <c r="M18" s="238"/>
    </row>
    <row r="19" spans="3:17" s="24" customFormat="1" ht="11.25">
      <c r="C19" s="216"/>
    </row>
    <row r="20" spans="3:17" s="15" customFormat="1" hidden="1" outlineLevel="2">
      <c r="E20" s="170" t="s">
        <v>41</v>
      </c>
      <c r="J20" s="94">
        <f>I22</f>
        <v>5</v>
      </c>
      <c r="K20" s="94">
        <f t="shared" ref="K20:Q20" si="8">J22</f>
        <v>7.5</v>
      </c>
      <c r="L20" s="94">
        <f t="shared" si="8"/>
        <v>12.148336900684967</v>
      </c>
      <c r="M20" s="94">
        <f t="shared" si="8"/>
        <v>24.635307976188827</v>
      </c>
      <c r="N20" s="94">
        <f t="shared" ca="1" si="8"/>
        <v>37.849752117669134</v>
      </c>
      <c r="O20" s="94">
        <f t="shared" ca="1" si="8"/>
        <v>56.014020321295796</v>
      </c>
      <c r="P20" s="94">
        <f t="shared" ca="1" si="8"/>
        <v>69.479098355013136</v>
      </c>
      <c r="Q20" s="94">
        <f t="shared" ca="1" si="8"/>
        <v>83.366715156101776</v>
      </c>
    </row>
    <row r="21" spans="3:17" s="15" customFormat="1" hidden="1" outlineLevel="2">
      <c r="E21" s="170" t="s">
        <v>42</v>
      </c>
      <c r="J21" s="176">
        <f>IF(J$12&lt;=TS_Data_Total_Pers,BS_Hist_TO!J21+BS_Fcast_TO!J21,CFS_All_TO!J51)</f>
        <v>2.5</v>
      </c>
      <c r="K21" s="176">
        <f>IF(K$12&lt;=TS_Data_Total_Pers,BS_Hist_TO!K21+BS_Fcast_TO!K21,CFS_All_TO!K51)</f>
        <v>4.6483369006849671</v>
      </c>
      <c r="L21" s="176">
        <f>IF(L$12&lt;=TS_Data_Total_Pers,BS_Hist_TO!L21+BS_Fcast_TO!L21,CFS_All_TO!L51)</f>
        <v>12.48697107550386</v>
      </c>
      <c r="M21" s="176">
        <f ca="1">IF(M$12&lt;=TS_Data_Total_Pers,BS_Hist_TO!M21+BS_Fcast_TO!M21,CFS_All_TO!M51)</f>
        <v>13.214444141480307</v>
      </c>
      <c r="N21" s="176">
        <f ca="1">IF(N$12&lt;=TS_Data_Total_Pers,BS_Hist_TO!N21+BS_Fcast_TO!N21,CFS_All_TO!N51)</f>
        <v>18.164268203626662</v>
      </c>
      <c r="O21" s="176">
        <f ca="1">IF(O$12&lt;=TS_Data_Total_Pers,BS_Hist_TO!O21+BS_Fcast_TO!O21,CFS_All_TO!O51)</f>
        <v>13.465078033717337</v>
      </c>
      <c r="P21" s="176">
        <f ca="1">IF(P$12&lt;=TS_Data_Total_Pers,BS_Hist_TO!P21+BS_Fcast_TO!P21,CFS_All_TO!P51)</f>
        <v>13.887616801088644</v>
      </c>
      <c r="Q21" s="176">
        <f ca="1">IF(Q$12&lt;=TS_Data_Total_Pers,BS_Hist_TO!Q21+BS_Fcast_TO!Q21,CFS_All_TO!Q51)</f>
        <v>14.249085792645893</v>
      </c>
    </row>
    <row r="22" spans="3:17" s="24" customFormat="1" collapsed="1">
      <c r="D22" s="203" t="str">
        <f>BS_Hist_TA!D22</f>
        <v>Cash at Bank</v>
      </c>
      <c r="I22" s="219">
        <f>IF(ISBLANK(I$12),BS_Hist_TO!$I$22,SUM(I20:I21))</f>
        <v>5</v>
      </c>
      <c r="J22" s="219">
        <f>IF(ISBLANK(J$12),BS_Hist_TO!$I$22,SUM(J20:J21))</f>
        <v>7.5</v>
      </c>
      <c r="K22" s="219">
        <f>IF(ISBLANK(K$12),BS_Hist_TO!$I$22,SUM(K20:K21))</f>
        <v>12.148336900684967</v>
      </c>
      <c r="L22" s="219">
        <f>IF(ISBLANK(L$12),BS_Hist_TO!$I$22,SUM(L20:L21))</f>
        <v>24.635307976188827</v>
      </c>
      <c r="M22" s="219">
        <f ca="1">IF(ISBLANK(M$12),BS_Hist_TO!$I$22,SUM(M20:M21))</f>
        <v>37.849752117669134</v>
      </c>
      <c r="N22" s="219">
        <f ca="1">IF(ISBLANK(N$12),BS_Hist_TO!$I$22,SUM(N20:N21))</f>
        <v>56.014020321295796</v>
      </c>
      <c r="O22" s="219">
        <f ca="1">IF(ISBLANK(O$12),BS_Hist_TO!$I$22,SUM(O20:O21))</f>
        <v>69.479098355013136</v>
      </c>
      <c r="P22" s="219">
        <f ca="1">IF(ISBLANK(P$12),BS_Hist_TO!$I$22,SUM(P20:P21))</f>
        <v>83.366715156101776</v>
      </c>
      <c r="Q22" s="219">
        <f ca="1">IF(ISBLANK(Q$12),BS_Hist_TO!$I$22,SUM(Q20:Q21))</f>
        <v>97.615800948747676</v>
      </c>
    </row>
    <row r="23" spans="3:17" s="24" customFormat="1">
      <c r="D23" s="203" t="str">
        <f>BS_Hist_TA!D23</f>
        <v>Accounts Receivable</v>
      </c>
      <c r="I23" s="219">
        <f>IF(OR(ISBLANK(I$12),I$12&lt;=TS_Data_Full_Pers),BS_Hist_TO!I23,BS_Fcast_TO!I23)</f>
        <v>10.273972602739725</v>
      </c>
      <c r="J23" s="219">
        <f>IF(OR(ISBLANK(J$12),J$12&lt;=TS_Data_Full_Pers),BS_Hist_TO!J23,BS_Fcast_TO!J23)</f>
        <v>10.273972602739725</v>
      </c>
      <c r="K23" s="219">
        <f>IF(OR(ISBLANK(K$12),K$12&lt;=TS_Data_Full_Pers),BS_Hist_TO!K23,BS_Fcast_TO!K23)</f>
        <v>10.530821917808218</v>
      </c>
      <c r="L23" s="219">
        <f>IF(OR(ISBLANK(L$12),L$12&lt;=TS_Data_Full_Pers),BS_Hist_TO!L23,BS_Fcast_TO!L23)</f>
        <v>10.764600409836065</v>
      </c>
      <c r="M23" s="219">
        <f>IF(OR(ISBLANK(M$12),M$12&lt;=TS_Data_Full_Pers),BS_Hist_TO!M23,BS_Fcast_TO!M23)</f>
        <v>11.063944777397261</v>
      </c>
      <c r="N23" s="219">
        <f>IF(OR(ISBLANK(N$12),N$12&lt;=TS_Data_Full_Pers),BS_Hist_TO!N23,BS_Fcast_TO!N23)</f>
        <v>11.340543396832192</v>
      </c>
      <c r="O23" s="219">
        <f>IF(OR(ISBLANK(O$12),O$12&lt;=TS_Data_Full_Pers),BS_Hist_TO!O23,BS_Fcast_TO!O23)</f>
        <v>11.624056981752995</v>
      </c>
      <c r="P23" s="219">
        <f>IF(OR(ISBLANK(P$12),P$12&lt;=TS_Data_Full_Pers),BS_Hist_TO!P23,BS_Fcast_TO!P23)</f>
        <v>11.882104694804204</v>
      </c>
      <c r="Q23" s="219">
        <f>IF(OR(ISBLANK(Q$12),Q$12&lt;=TS_Data_Full_Pers),BS_Hist_TO!Q23,BS_Fcast_TO!Q23)</f>
        <v>12.212524866454237</v>
      </c>
    </row>
    <row r="24" spans="3:17" s="24" customFormat="1">
      <c r="D24" s="203" t="str">
        <f>BS_Hist_TA!D24</f>
        <v>Other Current Assets</v>
      </c>
      <c r="I24" s="144">
        <f>IF(OR(ISBLANK(I$12),I$12&lt;=TS_Data_Full_Pers),BS_Hist_TO!I24,BS_Fcast_TO!I24)</f>
        <v>3</v>
      </c>
      <c r="J24" s="144">
        <f>IF(OR(ISBLANK(J$12),J$12&lt;=TS_Data_Full_Pers),BS_Hist_TO!J24,BS_Fcast_TO!J24)</f>
        <v>3</v>
      </c>
      <c r="K24" s="144">
        <f>IF(OR(ISBLANK(K$12),K$12&lt;=TS_Data_Full_Pers),BS_Hist_TO!K24,BS_Fcast_TO!K24)</f>
        <v>4</v>
      </c>
      <c r="L24" s="144">
        <f>IF(OR(ISBLANK(L$12),L$12&lt;=TS_Data_Full_Pers),BS_Hist_TO!L24,BS_Fcast_TO!L24)</f>
        <v>5</v>
      </c>
      <c r="M24" s="144">
        <f>IF(OR(ISBLANK(M$12),M$12&lt;=TS_Data_Full_Pers),BS_Hist_TO!M24,BS_Fcast_TO!M24)</f>
        <v>6</v>
      </c>
      <c r="N24" s="144">
        <f>IF(OR(ISBLANK(N$12),N$12&lt;=TS_Data_Full_Pers),BS_Hist_TO!N24,BS_Fcast_TO!N24)</f>
        <v>7</v>
      </c>
      <c r="O24" s="144">
        <f>IF(OR(ISBLANK(O$12),O$12&lt;=TS_Data_Full_Pers),BS_Hist_TO!O24,BS_Fcast_TO!O24)</f>
        <v>8</v>
      </c>
      <c r="P24" s="144">
        <f>IF(OR(ISBLANK(P$12),P$12&lt;=TS_Data_Full_Pers),BS_Hist_TO!P24,BS_Fcast_TO!P24)</f>
        <v>9</v>
      </c>
      <c r="Q24" s="144">
        <f>IF(OR(ISBLANK(Q$12),Q$12&lt;=TS_Data_Full_Pers),BS_Hist_TO!Q24,BS_Fcast_TO!Q24)</f>
        <v>10</v>
      </c>
    </row>
    <row r="25" spans="3:17" s="24" customFormat="1">
      <c r="D25" s="179" t="str">
        <f>BS_Hist_TA!D25</f>
        <v>Total Current Assets</v>
      </c>
      <c r="I25" s="225">
        <f>I22+SUM(I23:I24)</f>
        <v>18.273972602739725</v>
      </c>
      <c r="J25" s="225">
        <f>J22+SUM(J23:J24)</f>
        <v>20.773972602739725</v>
      </c>
      <c r="K25" s="225">
        <f t="shared" ref="K25:Q25" si="9">K22+SUM(K23:K24)</f>
        <v>26.679158818493185</v>
      </c>
      <c r="L25" s="225">
        <f t="shared" si="9"/>
        <v>40.39990838602489</v>
      </c>
      <c r="M25" s="225">
        <f t="shared" ca="1" si="9"/>
        <v>54.913696895066394</v>
      </c>
      <c r="N25" s="225">
        <f t="shared" ca="1" si="9"/>
        <v>74.354563718127991</v>
      </c>
      <c r="O25" s="225">
        <f t="shared" ca="1" si="9"/>
        <v>89.103155336766122</v>
      </c>
      <c r="P25" s="225">
        <f t="shared" ca="1" si="9"/>
        <v>104.24881985090599</v>
      </c>
      <c r="Q25" s="225">
        <f t="shared" ca="1" si="9"/>
        <v>119.82832581520191</v>
      </c>
    </row>
    <row r="26" spans="3:17" s="24" customFormat="1">
      <c r="I26" s="143"/>
      <c r="J26" s="143"/>
      <c r="K26" s="143"/>
      <c r="L26" s="143"/>
      <c r="M26" s="143"/>
      <c r="N26" s="143"/>
      <c r="O26" s="143"/>
      <c r="P26" s="143"/>
      <c r="Q26" s="143"/>
    </row>
    <row r="27" spans="3:17" s="24" customFormat="1" ht="11.25">
      <c r="C27" s="216" t="str">
        <f>BS_Hist_TA!C27</f>
        <v>Non-Current Assets</v>
      </c>
      <c r="I27" s="143"/>
      <c r="J27" s="143"/>
      <c r="K27" s="143"/>
      <c r="L27" s="143"/>
      <c r="M27" s="143"/>
      <c r="N27" s="143"/>
      <c r="O27" s="143"/>
      <c r="P27" s="143"/>
      <c r="Q27" s="143"/>
    </row>
    <row r="28" spans="3:17" s="24" customFormat="1">
      <c r="I28" s="143"/>
      <c r="J28" s="143"/>
      <c r="K28" s="143"/>
      <c r="L28" s="143"/>
      <c r="M28" s="143"/>
      <c r="N28" s="143"/>
      <c r="O28" s="143"/>
      <c r="P28" s="143"/>
      <c r="Q28" s="143"/>
    </row>
    <row r="29" spans="3:17" s="24" customFormat="1">
      <c r="D29" s="203" t="str">
        <f>BS_Hist_TA!D29</f>
        <v>Assets</v>
      </c>
      <c r="I29" s="219">
        <f>IF(OR(ISBLANK(I$12),I$12&lt;=TS_Data_Full_Pers),BS_Hist_TO!I29,BS_Fcast_TO!I29)</f>
        <v>146.5</v>
      </c>
      <c r="J29" s="219">
        <f>IF(OR(ISBLANK(J$12),J$12&lt;=TS_Data_Full_Pers),BS_Hist_TO!J29,BS_Fcast_TO!J29)</f>
        <v>146.5</v>
      </c>
      <c r="K29" s="219">
        <f>IF(OR(ISBLANK(K$12),K$12&lt;=TS_Data_Full_Pers),BS_Hist_TO!K29,BS_Fcast_TO!K29)</f>
        <v>148.03749999999999</v>
      </c>
      <c r="L29" s="219">
        <f>IF(OR(ISBLANK(L$12),L$12&lt;=TS_Data_Full_Pers),BS_Hist_TO!L29,BS_Fcast_TO!L29)</f>
        <v>149.6134375</v>
      </c>
      <c r="M29" s="219">
        <f ca="1">IF(OR(ISBLANK(M$12),M$12&lt;=TS_Data_Full_Pers),BS_Hist_TO!M29,BS_Fcast_TO!M29)</f>
        <v>151.22877343750002</v>
      </c>
      <c r="N29" s="219">
        <f ca="1">IF(OR(ISBLANK(N$12),N$12&lt;=TS_Data_Full_Pers),BS_Hist_TO!N29,BS_Fcast_TO!N29)</f>
        <v>152.88449277343753</v>
      </c>
      <c r="O29" s="219">
        <f ca="1">IF(OR(ISBLANK(O$12),O$12&lt;=TS_Data_Full_Pers),BS_Hist_TO!O29,BS_Fcast_TO!O29)</f>
        <v>154.58160509277349</v>
      </c>
      <c r="P29" s="219">
        <f ca="1">IF(OR(ISBLANK(P$12),P$12&lt;=TS_Data_Full_Pers),BS_Hist_TO!P29,BS_Fcast_TO!P29)</f>
        <v>156.32114522009283</v>
      </c>
      <c r="Q29" s="219">
        <f ca="1">IF(OR(ISBLANK(Q$12),Q$12&lt;=TS_Data_Full_Pers),BS_Hist_TO!Q29,BS_Fcast_TO!Q29)</f>
        <v>158.10417385059515</v>
      </c>
    </row>
    <row r="30" spans="3:17" s="24" customFormat="1">
      <c r="D30" s="203" t="str">
        <f>BS_Hist_TA!D30</f>
        <v>Intangibles</v>
      </c>
      <c r="I30" s="219">
        <f>IF(OR(ISBLANK(I$12),I$12&lt;=TS_Data_Full_Pers),BS_Hist_TO!I30,BS_Fcast_TO!I30)</f>
        <v>13.375</v>
      </c>
      <c r="J30" s="219">
        <f>IF(OR(ISBLANK(J$12),J$12&lt;=TS_Data_Full_Pers),BS_Hist_TO!J30,BS_Fcast_TO!J30)</f>
        <v>13.375</v>
      </c>
      <c r="K30" s="219">
        <f>IF(OR(ISBLANK(K$12),K$12&lt;=TS_Data_Full_Pers),BS_Hist_TO!K30,BS_Fcast_TO!K30)</f>
        <v>15.296875</v>
      </c>
      <c r="L30" s="219">
        <f>IF(OR(ISBLANK(L$12),L$12&lt;=TS_Data_Full_Pers),BS_Hist_TO!L30,BS_Fcast_TO!L30)</f>
        <v>17.266796874999997</v>
      </c>
      <c r="M30" s="219">
        <f ca="1">IF(OR(ISBLANK(M$12),M$12&lt;=TS_Data_Full_Pers),BS_Hist_TO!M30,BS_Fcast_TO!M30)</f>
        <v>19.285966796874998</v>
      </c>
      <c r="N30" s="219">
        <f ca="1">IF(OR(ISBLANK(N$12),N$12&lt;=TS_Data_Full_Pers),BS_Hist_TO!N30,BS_Fcast_TO!N30)</f>
        <v>21.355615966796872</v>
      </c>
      <c r="O30" s="219">
        <f ca="1">IF(OR(ISBLANK(O$12),O$12&lt;=TS_Data_Full_Pers),BS_Hist_TO!O30,BS_Fcast_TO!O30)</f>
        <v>23.477006365966794</v>
      </c>
      <c r="P30" s="219">
        <f ca="1">IF(OR(ISBLANK(P$12),P$12&lt;=TS_Data_Full_Pers),BS_Hist_TO!P30,BS_Fcast_TO!P30)</f>
        <v>25.651431525115964</v>
      </c>
      <c r="Q30" s="219">
        <f ca="1">IF(OR(ISBLANK(Q$12),Q$12&lt;=TS_Data_Full_Pers),BS_Hist_TO!Q30,BS_Fcast_TO!Q30)</f>
        <v>27.880217313243865</v>
      </c>
    </row>
    <row r="31" spans="3:17" s="24" customFormat="1">
      <c r="D31" s="203" t="str">
        <f>BS_Hist_TA!D31</f>
        <v>Deferred Tax Assets</v>
      </c>
      <c r="I31" s="219">
        <f>IF(OR(ISBLANK(I$12),I$12&lt;=TS_Data_Full_Pers),BS_Hist_TO!I31,BS_Fcast_TO!I31)</f>
        <v>0</v>
      </c>
      <c r="J31" s="219">
        <f>IF(OR(ISBLANK(J$12),J$12&lt;=TS_Data_Full_Pers),BS_Hist_TO!J31,BS_Fcast_TO!J31)</f>
        <v>0</v>
      </c>
      <c r="K31" s="219">
        <f>IF(OR(ISBLANK(K$12),K$12&lt;=TS_Data_Full_Pers),BS_Hist_TO!K31,BS_Fcast_TO!K31)</f>
        <v>0</v>
      </c>
      <c r="L31" s="219">
        <f>IF(OR(ISBLANK(L$12),L$12&lt;=TS_Data_Full_Pers),BS_Hist_TO!L31,BS_Fcast_TO!L31)</f>
        <v>0</v>
      </c>
      <c r="M31" s="219">
        <f ca="1">IF(OR(ISBLANK(M$12),M$12&lt;=TS_Data_Full_Pers),BS_Hist_TO!M31,BS_Fcast_TO!M31)</f>
        <v>0</v>
      </c>
      <c r="N31" s="219">
        <f ca="1">IF(OR(ISBLANK(N$12),N$12&lt;=TS_Data_Full_Pers),BS_Hist_TO!N31,BS_Fcast_TO!N31)</f>
        <v>0</v>
      </c>
      <c r="O31" s="219">
        <f ca="1">IF(OR(ISBLANK(O$12),O$12&lt;=TS_Data_Full_Pers),BS_Hist_TO!O31,BS_Fcast_TO!O31)</f>
        <v>0</v>
      </c>
      <c r="P31" s="219">
        <f ca="1">IF(OR(ISBLANK(P$12),P$12&lt;=TS_Data_Full_Pers),BS_Hist_TO!P31,BS_Fcast_TO!P31)</f>
        <v>0</v>
      </c>
      <c r="Q31" s="219">
        <f ca="1">IF(OR(ISBLANK(Q$12),Q$12&lt;=TS_Data_Full_Pers),BS_Hist_TO!Q31,BS_Fcast_TO!Q31)</f>
        <v>0</v>
      </c>
    </row>
    <row r="32" spans="3:17" s="24" customFormat="1">
      <c r="D32" s="203" t="str">
        <f>BS_Hist_TA!D32</f>
        <v>Other Non-Current Assets</v>
      </c>
      <c r="I32" s="144">
        <f>IF(OR(ISBLANK(I$12),I$12&lt;=TS_Data_Full_Pers),BS_Hist_TO!I32,BS_Fcast_TO!I32)</f>
        <v>4</v>
      </c>
      <c r="J32" s="144">
        <f>IF(OR(ISBLANK(J$12),J$12&lt;=TS_Data_Full_Pers),BS_Hist_TO!J32,BS_Fcast_TO!J32)</f>
        <v>4</v>
      </c>
      <c r="K32" s="144">
        <f>IF(OR(ISBLANK(K$12),K$12&lt;=TS_Data_Full_Pers),BS_Hist_TO!K32,BS_Fcast_TO!K32)</f>
        <v>5</v>
      </c>
      <c r="L32" s="144">
        <f>IF(OR(ISBLANK(L$12),L$12&lt;=TS_Data_Full_Pers),BS_Hist_TO!L32,BS_Fcast_TO!L32)</f>
        <v>6</v>
      </c>
      <c r="M32" s="144">
        <f>IF(OR(ISBLANK(M$12),M$12&lt;=TS_Data_Full_Pers),BS_Hist_TO!M32,BS_Fcast_TO!M32)</f>
        <v>7</v>
      </c>
      <c r="N32" s="144">
        <f>IF(OR(ISBLANK(N$12),N$12&lt;=TS_Data_Full_Pers),BS_Hist_TO!N32,BS_Fcast_TO!N32)</f>
        <v>8</v>
      </c>
      <c r="O32" s="144">
        <f>IF(OR(ISBLANK(O$12),O$12&lt;=TS_Data_Full_Pers),BS_Hist_TO!O32,BS_Fcast_TO!O32)</f>
        <v>9</v>
      </c>
      <c r="P32" s="144">
        <f>IF(OR(ISBLANK(P$12),P$12&lt;=TS_Data_Full_Pers),BS_Hist_TO!P32,BS_Fcast_TO!P32)</f>
        <v>10</v>
      </c>
      <c r="Q32" s="144">
        <f>IF(OR(ISBLANK(Q$12),Q$12&lt;=TS_Data_Full_Pers),BS_Hist_TO!Q32,BS_Fcast_TO!Q32)</f>
        <v>11</v>
      </c>
    </row>
    <row r="33" spans="3:17" s="24" customFormat="1">
      <c r="D33" s="179" t="str">
        <f>BS_Hist_TA!D33</f>
        <v>Total Non-Current Assets</v>
      </c>
      <c r="I33" s="225">
        <f>SUM(I29:I32)</f>
        <v>163.875</v>
      </c>
      <c r="J33" s="225">
        <f>SUM(J29:J32)</f>
        <v>163.875</v>
      </c>
      <c r="K33" s="225">
        <f t="shared" ref="K33:Q33" si="10">SUM(K29:K32)</f>
        <v>168.33437499999999</v>
      </c>
      <c r="L33" s="225">
        <f t="shared" si="10"/>
        <v>172.88023437499999</v>
      </c>
      <c r="M33" s="225">
        <f t="shared" ca="1" si="10"/>
        <v>177.51474023437501</v>
      </c>
      <c r="N33" s="225">
        <f t="shared" ca="1" si="10"/>
        <v>182.2401087402344</v>
      </c>
      <c r="O33" s="225">
        <f t="shared" ca="1" si="10"/>
        <v>187.05861145874027</v>
      </c>
      <c r="P33" s="225">
        <f t="shared" ca="1" si="10"/>
        <v>191.97257674520878</v>
      </c>
      <c r="Q33" s="225">
        <f t="shared" ca="1" si="10"/>
        <v>196.98439116383901</v>
      </c>
    </row>
    <row r="34" spans="3:17" s="24" customFormat="1">
      <c r="I34" s="143"/>
      <c r="J34" s="143"/>
      <c r="K34" s="143"/>
      <c r="L34" s="143"/>
      <c r="M34" s="143"/>
      <c r="N34" s="143"/>
      <c r="O34" s="143"/>
      <c r="P34" s="143"/>
      <c r="Q34" s="143"/>
    </row>
    <row r="35" spans="3:17" s="24" customFormat="1" ht="11.25">
      <c r="C35" s="216" t="str">
        <f>BS_Hist_TA!C35</f>
        <v>Total Assets</v>
      </c>
      <c r="I35" s="211">
        <f t="shared" ref="I35:Q35" si="11">I25+I33</f>
        <v>182.14897260273972</v>
      </c>
      <c r="J35" s="211">
        <f t="shared" si="11"/>
        <v>184.64897260273972</v>
      </c>
      <c r="K35" s="211">
        <f t="shared" si="11"/>
        <v>195.01353381849319</v>
      </c>
      <c r="L35" s="211">
        <f t="shared" si="11"/>
        <v>213.28014276102488</v>
      </c>
      <c r="M35" s="211">
        <f t="shared" ca="1" si="11"/>
        <v>232.42843712944142</v>
      </c>
      <c r="N35" s="211">
        <f t="shared" ca="1" si="11"/>
        <v>256.59467245836242</v>
      </c>
      <c r="O35" s="211">
        <f t="shared" ca="1" si="11"/>
        <v>276.16176679550642</v>
      </c>
      <c r="P35" s="211">
        <f t="shared" ca="1" si="11"/>
        <v>296.2213965961148</v>
      </c>
      <c r="Q35" s="211">
        <f t="shared" ca="1" si="11"/>
        <v>316.81271697904094</v>
      </c>
    </row>
    <row r="36" spans="3:17" s="24" customFormat="1">
      <c r="I36" s="143"/>
      <c r="J36" s="143"/>
      <c r="K36" s="143"/>
      <c r="L36" s="143"/>
      <c r="M36" s="143"/>
      <c r="N36" s="143"/>
      <c r="O36" s="143"/>
      <c r="P36" s="143"/>
      <c r="Q36" s="143"/>
    </row>
    <row r="37" spans="3:17" s="24" customFormat="1" ht="11.25">
      <c r="C37" s="216" t="str">
        <f>BS_Hist_TA!C37</f>
        <v>Current Liabilities</v>
      </c>
      <c r="I37" s="143"/>
      <c r="J37" s="143"/>
      <c r="K37" s="143"/>
      <c r="L37" s="143"/>
      <c r="M37" s="143"/>
      <c r="N37" s="143"/>
      <c r="O37" s="143"/>
      <c r="P37" s="143"/>
      <c r="Q37" s="143"/>
    </row>
    <row r="38" spans="3:17" s="24" customFormat="1">
      <c r="I38" s="143"/>
      <c r="J38" s="143"/>
      <c r="K38" s="143"/>
      <c r="L38" s="143"/>
      <c r="M38" s="143"/>
      <c r="N38" s="143"/>
      <c r="O38" s="143"/>
      <c r="P38" s="143"/>
      <c r="Q38" s="143"/>
    </row>
    <row r="39" spans="3:17" s="24" customFormat="1">
      <c r="D39" s="203" t="str">
        <f>BS_Hist_TA!D39</f>
        <v>Accounts Payable</v>
      </c>
      <c r="I39" s="219">
        <f>IF(OR(ISBLANK(I$12),I$12&lt;=TS_Data_Full_Pers),BS_Hist_TO!I39,BS_Fcast_TO!I39)</f>
        <v>8.0136986301369859</v>
      </c>
      <c r="J39" s="219">
        <f>IF(OR(ISBLANK(J$12),J$12&lt;=TS_Data_Full_Pers),BS_Hist_TO!J39,BS_Fcast_TO!J39)</f>
        <v>8.0136986301369859</v>
      </c>
      <c r="K39" s="219">
        <f>IF(OR(ISBLANK(K$12),K$12&lt;=TS_Data_Full_Pers),BS_Hist_TO!K39,BS_Fcast_TO!K39)</f>
        <v>8.2140410958904102</v>
      </c>
      <c r="L39" s="219">
        <f>IF(OR(ISBLANK(L$12),L$12&lt;=TS_Data_Full_Pers),BS_Hist_TO!L39,BS_Fcast_TO!L39)</f>
        <v>8.3963883196721305</v>
      </c>
      <c r="M39" s="219">
        <f>IF(OR(ISBLANK(M$12),M$12&lt;=TS_Data_Full_Pers),BS_Hist_TO!M39,BS_Fcast_TO!M39)</f>
        <v>8.629876926369862</v>
      </c>
      <c r="N39" s="219">
        <f>IF(OR(ISBLANK(N$12),N$12&lt;=TS_Data_Full_Pers),BS_Hist_TO!N39,BS_Fcast_TO!N39)</f>
        <v>8.8456238495291082</v>
      </c>
      <c r="O39" s="219">
        <f>IF(OR(ISBLANK(O$12),O$12&lt;=TS_Data_Full_Pers),BS_Hist_TO!O39,BS_Fcast_TO!O39)</f>
        <v>9.0667644457673351</v>
      </c>
      <c r="P39" s="219">
        <f>IF(OR(ISBLANK(P$12),P$12&lt;=TS_Data_Full_Pers),BS_Hist_TO!P39,BS_Fcast_TO!P39)</f>
        <v>9.2680416619472759</v>
      </c>
      <c r="Q39" s="219">
        <f>IF(OR(ISBLANK(Q$12),Q$12&lt;=TS_Data_Full_Pers),BS_Hist_TO!Q39,BS_Fcast_TO!Q39)</f>
        <v>9.5257693958343044</v>
      </c>
    </row>
    <row r="40" spans="3:17" s="24" customFormat="1">
      <c r="D40" s="203" t="str">
        <f>BS_Hist_TA!D40</f>
        <v>Tax Payable</v>
      </c>
      <c r="I40" s="219">
        <f>IF(OR(ISBLANK(I$12),I$12&lt;=TS_Data_Full_Pers),BS_Hist_TO!I40,BS_Fcast_TO!I40)</f>
        <v>12.787500000000001</v>
      </c>
      <c r="J40" s="219">
        <f>IF(OR(ISBLANK(J$12),J$12&lt;=TS_Data_Full_Pers),BS_Hist_TO!J40,BS_Fcast_TO!J40)</f>
        <v>12.787500000000001</v>
      </c>
      <c r="K40" s="219">
        <f>IF(OR(ISBLANK(K$12),K$12&lt;=TS_Data_Full_Pers),BS_Hist_TO!K40,BS_Fcast_TO!K40)</f>
        <v>13.131562500000003</v>
      </c>
      <c r="L40" s="219">
        <f>IF(OR(ISBLANK(L$12),L$12&lt;=TS_Data_Full_Pers),BS_Hist_TO!L40,BS_Fcast_TO!L40)</f>
        <v>13.484226562500004</v>
      </c>
      <c r="M40" s="219">
        <f ca="1">IF(OR(ISBLANK(M$12),M$12&lt;=TS_Data_Full_Pers),BS_Hist_TO!M40,BS_Fcast_TO!M40)</f>
        <v>13.845707226562505</v>
      </c>
      <c r="N40" s="219">
        <f ca="1">IF(OR(ISBLANK(N$12),N$12&lt;=TS_Data_Full_Pers),BS_Hist_TO!N40,BS_Fcast_TO!N40)</f>
        <v>14.16747490722657</v>
      </c>
      <c r="O40" s="219">
        <f ca="1">IF(OR(ISBLANK(O$12),O$12&lt;=TS_Data_Full_Pers),BS_Hist_TO!O40,BS_Fcast_TO!O40)</f>
        <v>14.498505529907231</v>
      </c>
      <c r="P40" s="219">
        <f ca="1">IF(OR(ISBLANK(P$12),P$12&lt;=TS_Data_Full_Pers),BS_Hist_TO!P40,BS_Fcast_TO!P40)</f>
        <v>14.88778066815491</v>
      </c>
      <c r="Q40" s="219">
        <f ca="1">IF(OR(ISBLANK(Q$12),Q$12&lt;=TS_Data_Full_Pers),BS_Hist_TO!Q40,BS_Fcast_TO!Q40)</f>
        <v>15.286787684858776</v>
      </c>
    </row>
    <row r="41" spans="3:17" s="24" customFormat="1">
      <c r="D41" s="203" t="str">
        <f>BS_Hist_TA!D41</f>
        <v>Interest Payable</v>
      </c>
      <c r="I41" s="219">
        <f>IF(OR(ISBLANK(I$12),I$12&lt;=TS_Data_Full_Pers),BS_Hist_TO!I41,BS_Fcast_TO!I41)</f>
        <v>0</v>
      </c>
      <c r="J41" s="219">
        <f>IF(OR(ISBLANK(J$12),J$12&lt;=TS_Data_Full_Pers),BS_Hist_TO!J41,BS_Fcast_TO!J41)</f>
        <v>0</v>
      </c>
      <c r="K41" s="219">
        <f>IF(OR(ISBLANK(K$12),K$12&lt;=TS_Data_Full_Pers),BS_Hist_TO!K41,BS_Fcast_TO!K41)</f>
        <v>0</v>
      </c>
      <c r="L41" s="219">
        <f>IF(OR(ISBLANK(L$12),L$12&lt;=TS_Data_Full_Pers),BS_Hist_TO!L41,BS_Fcast_TO!L41)</f>
        <v>0</v>
      </c>
      <c r="M41" s="219">
        <f ca="1">IF(OR(ISBLANK(M$12),M$12&lt;=TS_Data_Full_Pers),BS_Hist_TO!M41,BS_Fcast_TO!M41)</f>
        <v>0</v>
      </c>
      <c r="N41" s="219">
        <f ca="1">IF(OR(ISBLANK(N$12),N$12&lt;=TS_Data_Full_Pers),BS_Hist_TO!N41,BS_Fcast_TO!N41)</f>
        <v>0</v>
      </c>
      <c r="O41" s="219">
        <f ca="1">IF(OR(ISBLANK(O$12),O$12&lt;=TS_Data_Full_Pers),BS_Hist_TO!O41,BS_Fcast_TO!O41)</f>
        <v>0</v>
      </c>
      <c r="P41" s="219">
        <f ca="1">IF(OR(ISBLANK(P$12),P$12&lt;=TS_Data_Full_Pers),BS_Hist_TO!P41,BS_Fcast_TO!P41)</f>
        <v>0</v>
      </c>
      <c r="Q41" s="219">
        <f ca="1">IF(OR(ISBLANK(Q$12),Q$12&lt;=TS_Data_Full_Pers),BS_Hist_TO!Q41,BS_Fcast_TO!Q41)</f>
        <v>0</v>
      </c>
    </row>
    <row r="42" spans="3:17" s="24" customFormat="1">
      <c r="D42" s="203" t="str">
        <f>BS_Hist_TA!D42</f>
        <v>Ordinary Equity Dividends Payable</v>
      </c>
      <c r="I42" s="219">
        <f>IF(OR(ISBLANK(I$12),I$12&lt;=TS_Data_Full_Pers),BS_Hist_TO!I42,BS_Fcast_TO!I42)</f>
        <v>0</v>
      </c>
      <c r="J42" s="219">
        <f>IF(OR(ISBLANK(J$12),J$12&lt;=TS_Data_Full_Pers),BS_Hist_TO!J42,BS_Fcast_TO!J42)</f>
        <v>0</v>
      </c>
      <c r="K42" s="219">
        <f>IF(OR(ISBLANK(K$12),K$12&lt;=TS_Data_Full_Pers),BS_Hist_TO!K42,BS_Fcast_TO!K42)</f>
        <v>0</v>
      </c>
      <c r="L42" s="219">
        <f>IF(OR(ISBLANK(L$12),L$12&lt;=TS_Data_Full_Pers),BS_Hist_TO!L42,BS_Fcast_TO!L42)</f>
        <v>0</v>
      </c>
      <c r="M42" s="219">
        <f ca="1">IF(OR(ISBLANK(M$12),M$12&lt;=TS_Data_Full_Pers),BS_Hist_TO!M42,BS_Fcast_TO!M42)</f>
        <v>0</v>
      </c>
      <c r="N42" s="219">
        <f ca="1">IF(OR(ISBLANK(N$12),N$12&lt;=TS_Data_Full_Pers),BS_Hist_TO!N42,BS_Fcast_TO!N42)</f>
        <v>0</v>
      </c>
      <c r="O42" s="219">
        <f ca="1">IF(OR(ISBLANK(O$12),O$12&lt;=TS_Data_Full_Pers),BS_Hist_TO!O42,BS_Fcast_TO!O42)</f>
        <v>0</v>
      </c>
      <c r="P42" s="219">
        <f ca="1">IF(OR(ISBLANK(P$12),P$12&lt;=TS_Data_Full_Pers),BS_Hist_TO!P42,BS_Fcast_TO!P42)</f>
        <v>0</v>
      </c>
      <c r="Q42" s="219">
        <f ca="1">IF(OR(ISBLANK(Q$12),Q$12&lt;=TS_Data_Full_Pers),BS_Hist_TO!Q42,BS_Fcast_TO!Q42)</f>
        <v>0</v>
      </c>
    </row>
    <row r="43" spans="3:17" s="24" customFormat="1">
      <c r="D43" s="203" t="str">
        <f>BS_Hist_TA!D43</f>
        <v>Other Current Liabilities</v>
      </c>
      <c r="I43" s="144">
        <f>IF(OR(ISBLANK(I$12),I$12&lt;=TS_Data_Full_Pers),BS_Hist_TO!I43,BS_Fcast_TO!I43)</f>
        <v>5</v>
      </c>
      <c r="J43" s="144">
        <f>IF(OR(ISBLANK(J$12),J$12&lt;=TS_Data_Full_Pers),BS_Hist_TO!J43,BS_Fcast_TO!J43)</f>
        <v>5</v>
      </c>
      <c r="K43" s="144">
        <f>IF(OR(ISBLANK(K$12),K$12&lt;=TS_Data_Full_Pers),BS_Hist_TO!K43,BS_Fcast_TO!K43)</f>
        <v>6</v>
      </c>
      <c r="L43" s="144">
        <f>IF(OR(ISBLANK(L$12),L$12&lt;=TS_Data_Full_Pers),BS_Hist_TO!L43,BS_Fcast_TO!L43)</f>
        <v>7</v>
      </c>
      <c r="M43" s="144">
        <f>IF(OR(ISBLANK(M$12),M$12&lt;=TS_Data_Full_Pers),BS_Hist_TO!M43,BS_Fcast_TO!M43)</f>
        <v>8</v>
      </c>
      <c r="N43" s="144">
        <f>IF(OR(ISBLANK(N$12),N$12&lt;=TS_Data_Full_Pers),BS_Hist_TO!N43,BS_Fcast_TO!N43)</f>
        <v>9</v>
      </c>
      <c r="O43" s="144">
        <f>IF(OR(ISBLANK(O$12),O$12&lt;=TS_Data_Full_Pers),BS_Hist_TO!O43,BS_Fcast_TO!O43)</f>
        <v>10</v>
      </c>
      <c r="P43" s="144">
        <f>IF(OR(ISBLANK(P$12),P$12&lt;=TS_Data_Full_Pers),BS_Hist_TO!P43,BS_Fcast_TO!P43)</f>
        <v>11</v>
      </c>
      <c r="Q43" s="144">
        <f>IF(OR(ISBLANK(Q$12),Q$12&lt;=TS_Data_Full_Pers),BS_Hist_TO!Q43,BS_Fcast_TO!Q43)</f>
        <v>12</v>
      </c>
    </row>
    <row r="44" spans="3:17" s="24" customFormat="1">
      <c r="D44" s="179" t="str">
        <f>BS_Hist_TA!D44</f>
        <v>Total Current Liabilities</v>
      </c>
      <c r="I44" s="225">
        <f>SUM(I39:I43)</f>
        <v>25.801198630136987</v>
      </c>
      <c r="J44" s="225">
        <f>SUM(J39:J43)</f>
        <v>25.801198630136987</v>
      </c>
      <c r="K44" s="225">
        <f t="shared" ref="K44:Q44" si="12">SUM(K39:K43)</f>
        <v>27.345603595890413</v>
      </c>
      <c r="L44" s="225">
        <f t="shared" si="12"/>
        <v>28.880614882172132</v>
      </c>
      <c r="M44" s="225">
        <f t="shared" ca="1" si="12"/>
        <v>30.475584152932367</v>
      </c>
      <c r="N44" s="225">
        <f t="shared" ca="1" si="12"/>
        <v>32.013098756755682</v>
      </c>
      <c r="O44" s="225">
        <f t="shared" ca="1" si="12"/>
        <v>33.565269975674568</v>
      </c>
      <c r="P44" s="225">
        <f t="shared" ca="1" si="12"/>
        <v>35.155822330102183</v>
      </c>
      <c r="Q44" s="225">
        <f t="shared" ca="1" si="12"/>
        <v>36.812557080693082</v>
      </c>
    </row>
    <row r="45" spans="3:17" s="24" customFormat="1">
      <c r="I45" s="143"/>
      <c r="J45" s="143"/>
      <c r="K45" s="143"/>
      <c r="L45" s="143"/>
      <c r="M45" s="143"/>
      <c r="N45" s="143"/>
      <c r="O45" s="143"/>
      <c r="P45" s="143"/>
      <c r="Q45" s="143"/>
    </row>
    <row r="46" spans="3:17" s="24" customFormat="1" ht="11.25">
      <c r="C46" s="216" t="str">
        <f>BS_Hist_TA!C46</f>
        <v>Non-Current Liabilities</v>
      </c>
      <c r="I46" s="143"/>
      <c r="J46" s="143"/>
      <c r="K46" s="143"/>
      <c r="L46" s="143"/>
      <c r="M46" s="143"/>
      <c r="N46" s="143"/>
      <c r="O46" s="143"/>
      <c r="P46" s="143"/>
      <c r="Q46" s="143"/>
    </row>
    <row r="47" spans="3:17" s="24" customFormat="1">
      <c r="I47" s="143"/>
      <c r="J47" s="143"/>
      <c r="K47" s="143"/>
      <c r="L47" s="143"/>
      <c r="M47" s="143"/>
      <c r="N47" s="143"/>
      <c r="O47" s="143"/>
      <c r="P47" s="143"/>
      <c r="Q47" s="143"/>
    </row>
    <row r="48" spans="3:17" s="24" customFormat="1">
      <c r="D48" s="203" t="str">
        <f>BS_Hist_TA!D48</f>
        <v>Debt</v>
      </c>
      <c r="I48" s="219">
        <f>IF(OR(ISBLANK(I$12),I$12&lt;=TS_Data_Full_Pers),BS_Hist_TO!I48,BS_Fcast_TO!I48)</f>
        <v>50</v>
      </c>
      <c r="J48" s="219">
        <f>IF(OR(ISBLANK(J$12),J$12&lt;=TS_Data_Full_Pers),BS_Hist_TO!J48,BS_Fcast_TO!J48)</f>
        <v>50</v>
      </c>
      <c r="K48" s="219">
        <f>IF(OR(ISBLANK(K$12),K$12&lt;=TS_Data_Full_Pers),BS_Hist_TO!K48,BS_Fcast_TO!K48)</f>
        <v>50</v>
      </c>
      <c r="L48" s="219">
        <f>IF(OR(ISBLANK(L$12),L$12&lt;=TS_Data_Full_Pers),BS_Hist_TO!L48,BS_Fcast_TO!L48)</f>
        <v>50</v>
      </c>
      <c r="M48" s="219">
        <f ca="1">IF(OR(ISBLANK(M$12),M$12&lt;=TS_Data_Full_Pers),BS_Hist_TO!M48,BS_Fcast_TO!M48)</f>
        <v>50</v>
      </c>
      <c r="N48" s="219">
        <f ca="1">IF(OR(ISBLANK(N$12),N$12&lt;=TS_Data_Full_Pers),BS_Hist_TO!N48,BS_Fcast_TO!N48)</f>
        <v>55</v>
      </c>
      <c r="O48" s="219">
        <f ca="1">IF(OR(ISBLANK(O$12),O$12&lt;=TS_Data_Full_Pers),BS_Hist_TO!O48,BS_Fcast_TO!O48)</f>
        <v>55</v>
      </c>
      <c r="P48" s="219">
        <f ca="1">IF(OR(ISBLANK(P$12),P$12&lt;=TS_Data_Full_Pers),BS_Hist_TO!P48,BS_Fcast_TO!P48)</f>
        <v>55</v>
      </c>
      <c r="Q48" s="219">
        <f ca="1">IF(OR(ISBLANK(Q$12),Q$12&lt;=TS_Data_Full_Pers),BS_Hist_TO!Q48,BS_Fcast_TO!Q48)</f>
        <v>55</v>
      </c>
    </row>
    <row r="49" spans="3:17" s="24" customFormat="1">
      <c r="D49" s="203" t="str">
        <f>BS_Hist_TA!D49</f>
        <v>Deferred Tax Liabilities</v>
      </c>
      <c r="I49" s="219">
        <f>IF(OR(ISBLANK(I$12),I$12&lt;=TS_Data_Full_Pers),BS_Hist_TO!I49,BS_Fcast_TO!I49)</f>
        <v>0</v>
      </c>
      <c r="J49" s="219">
        <f>IF(OR(ISBLANK(J$12),J$12&lt;=TS_Data_Full_Pers),BS_Hist_TO!J49,BS_Fcast_TO!J49)</f>
        <v>0</v>
      </c>
      <c r="K49" s="219">
        <f>IF(OR(ISBLANK(K$12),K$12&lt;=TS_Data_Full_Pers),BS_Hist_TO!K49,BS_Fcast_TO!K49)</f>
        <v>0</v>
      </c>
      <c r="L49" s="219">
        <f>IF(OR(ISBLANK(L$12),L$12&lt;=TS_Data_Full_Pers),BS_Hist_TO!L49,BS_Fcast_TO!L49)</f>
        <v>0</v>
      </c>
      <c r="M49" s="219">
        <f ca="1">IF(OR(ISBLANK(M$12),M$12&lt;=TS_Data_Full_Pers),BS_Hist_TO!M49,BS_Fcast_TO!M49)</f>
        <v>0</v>
      </c>
      <c r="N49" s="219">
        <f ca="1">IF(OR(ISBLANK(N$12),N$12&lt;=TS_Data_Full_Pers),BS_Hist_TO!N49,BS_Fcast_TO!N49)</f>
        <v>0</v>
      </c>
      <c r="O49" s="219">
        <f ca="1">IF(OR(ISBLANK(O$12),O$12&lt;=TS_Data_Full_Pers),BS_Hist_TO!O49,BS_Fcast_TO!O49)</f>
        <v>0</v>
      </c>
      <c r="P49" s="219">
        <f ca="1">IF(OR(ISBLANK(P$12),P$12&lt;=TS_Data_Full_Pers),BS_Hist_TO!P49,BS_Fcast_TO!P49)</f>
        <v>0</v>
      </c>
      <c r="Q49" s="219">
        <f ca="1">IF(OR(ISBLANK(Q$12),Q$12&lt;=TS_Data_Full_Pers),BS_Hist_TO!Q49,BS_Fcast_TO!Q49)</f>
        <v>0</v>
      </c>
    </row>
    <row r="50" spans="3:17" s="24" customFormat="1">
      <c r="D50" s="203" t="str">
        <f>BS_Hist_TA!D50</f>
        <v>Other Non-Current Liabilities</v>
      </c>
      <c r="I50" s="144">
        <f>IF(OR(ISBLANK(I$12),I$12&lt;=TS_Data_Full_Pers),BS_Hist_TO!I50,BS_Fcast_TO!I50)</f>
        <v>6</v>
      </c>
      <c r="J50" s="144">
        <f>IF(OR(ISBLANK(J$12),J$12&lt;=TS_Data_Full_Pers),BS_Hist_TO!J50,BS_Fcast_TO!J50)</f>
        <v>6</v>
      </c>
      <c r="K50" s="144">
        <f>IF(OR(ISBLANK(K$12),K$12&lt;=TS_Data_Full_Pers),BS_Hist_TO!K50,BS_Fcast_TO!K50)</f>
        <v>7</v>
      </c>
      <c r="L50" s="144">
        <f>IF(OR(ISBLANK(L$12),L$12&lt;=TS_Data_Full_Pers),BS_Hist_TO!L50,BS_Fcast_TO!L50)</f>
        <v>8</v>
      </c>
      <c r="M50" s="144">
        <f>IF(OR(ISBLANK(M$12),M$12&lt;=TS_Data_Full_Pers),BS_Hist_TO!M50,BS_Fcast_TO!M50)</f>
        <v>9</v>
      </c>
      <c r="N50" s="144">
        <f>IF(OR(ISBLANK(N$12),N$12&lt;=TS_Data_Full_Pers),BS_Hist_TO!N50,BS_Fcast_TO!N50)</f>
        <v>10</v>
      </c>
      <c r="O50" s="144">
        <f>IF(OR(ISBLANK(O$12),O$12&lt;=TS_Data_Full_Pers),BS_Hist_TO!O50,BS_Fcast_TO!O50)</f>
        <v>11</v>
      </c>
      <c r="P50" s="144">
        <f>IF(OR(ISBLANK(P$12),P$12&lt;=TS_Data_Full_Pers),BS_Hist_TO!P50,BS_Fcast_TO!P50)</f>
        <v>12</v>
      </c>
      <c r="Q50" s="144">
        <f>IF(OR(ISBLANK(Q$12),Q$12&lt;=TS_Data_Full_Pers),BS_Hist_TO!Q50,BS_Fcast_TO!Q50)</f>
        <v>13</v>
      </c>
    </row>
    <row r="51" spans="3:17" s="24" customFormat="1">
      <c r="D51" s="179" t="str">
        <f>BS_Hist_TA!D51</f>
        <v>Total Non-Current Liabilities</v>
      </c>
      <c r="I51" s="225">
        <f>SUM(I48:I50)</f>
        <v>56</v>
      </c>
      <c r="J51" s="225">
        <f>SUM(J48:J50)</f>
        <v>56</v>
      </c>
      <c r="K51" s="225">
        <f t="shared" ref="K51:Q51" si="13">SUM(K48:K50)</f>
        <v>57</v>
      </c>
      <c r="L51" s="225">
        <f t="shared" si="13"/>
        <v>58</v>
      </c>
      <c r="M51" s="225">
        <f t="shared" ca="1" si="13"/>
        <v>59</v>
      </c>
      <c r="N51" s="225">
        <f t="shared" ca="1" si="13"/>
        <v>65</v>
      </c>
      <c r="O51" s="225">
        <f t="shared" ca="1" si="13"/>
        <v>66</v>
      </c>
      <c r="P51" s="225">
        <f t="shared" ca="1" si="13"/>
        <v>67</v>
      </c>
      <c r="Q51" s="225">
        <f t="shared" ca="1" si="13"/>
        <v>68</v>
      </c>
    </row>
    <row r="52" spans="3:17" s="24" customFormat="1">
      <c r="I52" s="143"/>
      <c r="J52" s="143"/>
      <c r="K52" s="143"/>
      <c r="L52" s="143"/>
      <c r="M52" s="143"/>
      <c r="N52" s="143"/>
      <c r="O52" s="143"/>
      <c r="P52" s="143"/>
      <c r="Q52" s="143"/>
    </row>
    <row r="53" spans="3:17" s="24" customFormat="1" ht="11.25">
      <c r="C53" s="216" t="str">
        <f>BS_Hist_TA!C53</f>
        <v>Total Liabilities</v>
      </c>
      <c r="I53" s="211">
        <f t="shared" ref="I53:Q53" si="14">I44+I51</f>
        <v>81.80119863013698</v>
      </c>
      <c r="J53" s="211">
        <f t="shared" si="14"/>
        <v>81.80119863013698</v>
      </c>
      <c r="K53" s="211">
        <f t="shared" si="14"/>
        <v>84.34560359589041</v>
      </c>
      <c r="L53" s="211">
        <f t="shared" si="14"/>
        <v>86.880614882172125</v>
      </c>
      <c r="M53" s="211">
        <f t="shared" ca="1" si="14"/>
        <v>89.47558415293237</v>
      </c>
      <c r="N53" s="211">
        <f t="shared" ca="1" si="14"/>
        <v>97.013098756755682</v>
      </c>
      <c r="O53" s="211">
        <f t="shared" ca="1" si="14"/>
        <v>99.565269975674568</v>
      </c>
      <c r="P53" s="211">
        <f t="shared" ca="1" si="14"/>
        <v>102.15582233010218</v>
      </c>
      <c r="Q53" s="211">
        <f t="shared" ca="1" si="14"/>
        <v>104.81255708069308</v>
      </c>
    </row>
    <row r="54" spans="3:17" s="24" customFormat="1">
      <c r="I54" s="143"/>
      <c r="J54" s="143"/>
      <c r="K54" s="143"/>
      <c r="L54" s="143"/>
      <c r="M54" s="143"/>
      <c r="N54" s="143"/>
      <c r="O54" s="143"/>
      <c r="P54" s="143"/>
      <c r="Q54" s="143"/>
    </row>
    <row r="55" spans="3:17" s="24" customFormat="1" ht="12" thickBot="1">
      <c r="C55" s="216" t="str">
        <f>BS_Hist_TA!C55</f>
        <v>Net Assets</v>
      </c>
      <c r="I55" s="213">
        <f t="shared" ref="I55:Q55" si="15">I35-I53</f>
        <v>100.34777397260274</v>
      </c>
      <c r="J55" s="213">
        <f t="shared" si="15"/>
        <v>102.84777397260274</v>
      </c>
      <c r="K55" s="213">
        <f t="shared" si="15"/>
        <v>110.66793022260278</v>
      </c>
      <c r="L55" s="213">
        <f t="shared" si="15"/>
        <v>126.39952787885275</v>
      </c>
      <c r="M55" s="213">
        <f t="shared" ca="1" si="15"/>
        <v>142.95285297650906</v>
      </c>
      <c r="N55" s="213">
        <f t="shared" ca="1" si="15"/>
        <v>159.58157370160674</v>
      </c>
      <c r="O55" s="213">
        <f t="shared" ca="1" si="15"/>
        <v>176.59649681983186</v>
      </c>
      <c r="P55" s="213">
        <f t="shared" ca="1" si="15"/>
        <v>194.06557426601262</v>
      </c>
      <c r="Q55" s="213">
        <f t="shared" ca="1" si="15"/>
        <v>212.00015989834787</v>
      </c>
    </row>
    <row r="56" spans="3:17" s="24" customFormat="1" ht="11.25" thickTop="1">
      <c r="I56" s="143"/>
      <c r="J56" s="143"/>
      <c r="K56" s="143"/>
      <c r="L56" s="143"/>
      <c r="M56" s="143"/>
      <c r="N56" s="143"/>
      <c r="O56" s="143"/>
      <c r="P56" s="143"/>
      <c r="Q56" s="143"/>
    </row>
    <row r="57" spans="3:17" s="24" customFormat="1" ht="11.25">
      <c r="C57" s="216" t="str">
        <f>BS_Hist_TA!C57</f>
        <v>Equity</v>
      </c>
      <c r="I57" s="143"/>
      <c r="J57" s="143"/>
      <c r="K57" s="143"/>
      <c r="L57" s="143"/>
      <c r="M57" s="143"/>
      <c r="N57" s="143"/>
      <c r="O57" s="143"/>
      <c r="P57" s="143"/>
      <c r="Q57" s="143"/>
    </row>
    <row r="58" spans="3:17" s="24" customFormat="1">
      <c r="I58" s="143"/>
      <c r="J58" s="143"/>
      <c r="K58" s="143"/>
      <c r="L58" s="143"/>
      <c r="M58" s="143"/>
      <c r="N58" s="143"/>
      <c r="O58" s="143"/>
      <c r="P58" s="143"/>
      <c r="Q58" s="143"/>
    </row>
    <row r="59" spans="3:17" s="24" customFormat="1">
      <c r="D59" s="203" t="str">
        <f>BS_Hist_TA!D59</f>
        <v>Ordinary Equity</v>
      </c>
      <c r="I59" s="219">
        <f>IF(OR(ISBLANK(I$12),I$12&lt;=TS_Data_Full_Pers),BS_Hist_TO!I59,BS_Fcast_TO!I59)</f>
        <v>75</v>
      </c>
      <c r="J59" s="219">
        <f>IF(OR(ISBLANK(J$12),J$12&lt;=TS_Data_Full_Pers),BS_Hist_TO!J59,BS_Fcast_TO!J59)</f>
        <v>75</v>
      </c>
      <c r="K59" s="219">
        <f>IF(OR(ISBLANK(K$12),K$12&lt;=TS_Data_Full_Pers),BS_Hist_TO!K59,BS_Fcast_TO!K59)</f>
        <v>75</v>
      </c>
      <c r="L59" s="219">
        <f>IF(OR(ISBLANK(L$12),L$12&lt;=TS_Data_Full_Pers),BS_Hist_TO!L59,BS_Fcast_TO!L59)</f>
        <v>75</v>
      </c>
      <c r="M59" s="219">
        <f ca="1">IF(OR(ISBLANK(M$12),M$12&lt;=TS_Data_Full_Pers),BS_Hist_TO!M59,BS_Fcast_TO!M59)</f>
        <v>75</v>
      </c>
      <c r="N59" s="219">
        <f ca="1">IF(OR(ISBLANK(N$12),N$12&lt;=TS_Data_Full_Pers),BS_Hist_TO!N59,BS_Fcast_TO!N59)</f>
        <v>75</v>
      </c>
      <c r="O59" s="219">
        <f ca="1">IF(OR(ISBLANK(O$12),O$12&lt;=TS_Data_Full_Pers),BS_Hist_TO!O59,BS_Fcast_TO!O59)</f>
        <v>75</v>
      </c>
      <c r="P59" s="219">
        <f ca="1">IF(OR(ISBLANK(P$12),P$12&lt;=TS_Data_Full_Pers),BS_Hist_TO!P59,BS_Fcast_TO!P59)</f>
        <v>75</v>
      </c>
      <c r="Q59" s="219">
        <f ca="1">IF(OR(ISBLANK(Q$12),Q$12&lt;=TS_Data_Full_Pers),BS_Hist_TO!Q59,BS_Fcast_TO!Q59)</f>
        <v>75</v>
      </c>
    </row>
    <row r="60" spans="3:17" s="24" customFormat="1">
      <c r="D60" s="203" t="str">
        <f>BS_Hist_TA!D60</f>
        <v>Other Equity</v>
      </c>
      <c r="I60" s="219">
        <f>IF(OR(ISBLANK(I$12),I$12&lt;=TS_Data_Full_Pers),BS_Hist_TO!I60,BS_Fcast_TO!I60)</f>
        <v>5</v>
      </c>
      <c r="J60" s="219">
        <f>IF(OR(ISBLANK(J$12),J$12&lt;=TS_Data_Full_Pers),BS_Hist_TO!J60,BS_Fcast_TO!J60)</f>
        <v>5</v>
      </c>
      <c r="K60" s="219">
        <f>IF(OR(ISBLANK(K$12),K$12&lt;=TS_Data_Full_Pers),BS_Hist_TO!K60,BS_Fcast_TO!K60)</f>
        <v>5</v>
      </c>
      <c r="L60" s="219">
        <f>IF(OR(ISBLANK(L$12),L$12&lt;=TS_Data_Full_Pers),BS_Hist_TO!L60,BS_Fcast_TO!L60)</f>
        <v>5</v>
      </c>
      <c r="M60" s="219">
        <f>IF(OR(ISBLANK(M$12),M$12&lt;=TS_Data_Full_Pers),BS_Hist_TO!M60,BS_Fcast_TO!M60)</f>
        <v>5.3999999999999986</v>
      </c>
      <c r="N60" s="219">
        <f>IF(OR(ISBLANK(N$12),N$12&lt;=TS_Data_Full_Pers),BS_Hist_TO!N60,BS_Fcast_TO!N60)</f>
        <v>5.4999999999999982</v>
      </c>
      <c r="O60" s="219">
        <f>IF(OR(ISBLANK(O$12),O$12&lt;=TS_Data_Full_Pers),BS_Hist_TO!O60,BS_Fcast_TO!O60)</f>
        <v>5.5999999999999979</v>
      </c>
      <c r="P60" s="219">
        <f>IF(OR(ISBLANK(P$12),P$12&lt;=TS_Data_Full_Pers),BS_Hist_TO!P60,BS_Fcast_TO!P60)</f>
        <v>5.6999999999999975</v>
      </c>
      <c r="Q60" s="219">
        <f>IF(OR(ISBLANK(Q$12),Q$12&lt;=TS_Data_Full_Pers),BS_Hist_TO!Q60,BS_Fcast_TO!Q60)</f>
        <v>5.7999999999999972</v>
      </c>
    </row>
    <row r="61" spans="3:17" s="24" customFormat="1" hidden="1" outlineLevel="2">
      <c r="D61" s="203"/>
      <c r="E61" s="170" t="s">
        <v>245</v>
      </c>
      <c r="J61" s="219">
        <f>I66</f>
        <v>20.347773972602738</v>
      </c>
      <c r="K61" s="219">
        <f t="shared" ref="K61:Q61" si="16">J66</f>
        <v>22.847773972602738</v>
      </c>
      <c r="L61" s="219">
        <f t="shared" si="16"/>
        <v>30.667930222602777</v>
      </c>
      <c r="M61" s="219">
        <f t="shared" si="16"/>
        <v>46.399527878852751</v>
      </c>
      <c r="N61" s="219">
        <f t="shared" ca="1" si="16"/>
        <v>62.552852976509001</v>
      </c>
      <c r="O61" s="219">
        <f t="shared" ca="1" si="16"/>
        <v>79.081573701606658</v>
      </c>
      <c r="P61" s="219">
        <f t="shared" ca="1" si="16"/>
        <v>95.996496819831762</v>
      </c>
      <c r="Q61" s="219">
        <f t="shared" ca="1" si="16"/>
        <v>113.3655742660125</v>
      </c>
    </row>
    <row r="62" spans="3:17" s="24" customFormat="1" hidden="1" outlineLevel="2">
      <c r="D62" s="203"/>
      <c r="E62" s="170" t="s">
        <v>560</v>
      </c>
      <c r="J62" s="219">
        <f>BS_Hist_TO!J62</f>
        <v>2.5</v>
      </c>
      <c r="K62" s="219">
        <f>BS_Hist_TO!K62</f>
        <v>7.8201562500000392</v>
      </c>
      <c r="L62" s="219">
        <f>BS_Hist_TO!L62</f>
        <v>15.731597656249974</v>
      </c>
      <c r="M62" s="219">
        <f>BS_Hist_TO!M62</f>
        <v>0</v>
      </c>
      <c r="N62" s="219">
        <f>BS_Hist_TO!N62</f>
        <v>0</v>
      </c>
      <c r="O62" s="219">
        <f>BS_Hist_TO!O62</f>
        <v>0</v>
      </c>
      <c r="P62" s="219">
        <f>BS_Hist_TO!P62</f>
        <v>0</v>
      </c>
      <c r="Q62" s="219">
        <f>BS_Hist_TO!Q62</f>
        <v>0</v>
      </c>
    </row>
    <row r="63" spans="3:17" s="24" customFormat="1" hidden="1" outlineLevel="2">
      <c r="D63" s="203"/>
      <c r="E63" s="170" t="s">
        <v>554</v>
      </c>
      <c r="J63" s="219">
        <f>BS_Hist_TO!J63</f>
        <v>0</v>
      </c>
      <c r="K63" s="219">
        <f>BS_Hist_TO!K63</f>
        <v>0</v>
      </c>
      <c r="L63" s="219">
        <f>BS_Hist_TO!L63</f>
        <v>0</v>
      </c>
      <c r="M63" s="219">
        <f>BS_Hist_TO!M63</f>
        <v>0</v>
      </c>
      <c r="N63" s="219">
        <f>BS_Hist_TO!N63</f>
        <v>0</v>
      </c>
      <c r="O63" s="219">
        <f>BS_Hist_TO!O63</f>
        <v>0</v>
      </c>
      <c r="P63" s="219">
        <f>BS_Hist_TO!P63</f>
        <v>0</v>
      </c>
      <c r="Q63" s="219">
        <f>BS_Hist_TO!Q63</f>
        <v>0</v>
      </c>
    </row>
    <row r="64" spans="3:17" s="24" customFormat="1" hidden="1" outlineLevel="2">
      <c r="D64" s="202"/>
      <c r="E64" s="170" t="s">
        <v>561</v>
      </c>
      <c r="J64" s="219">
        <f>BS_Fcast_TO!J62</f>
        <v>0</v>
      </c>
      <c r="K64" s="219">
        <f>BS_Fcast_TO!K62</f>
        <v>0</v>
      </c>
      <c r="L64" s="219">
        <f>BS_Fcast_TO!L62</f>
        <v>0</v>
      </c>
      <c r="M64" s="219">
        <f ca="1">BS_Fcast_TO!M62</f>
        <v>32.306650195312507</v>
      </c>
      <c r="N64" s="219">
        <f ca="1">BS_Fcast_TO!N62</f>
        <v>33.057441450195327</v>
      </c>
      <c r="O64" s="219">
        <f ca="1">BS_Fcast_TO!O62</f>
        <v>33.829846236450202</v>
      </c>
      <c r="P64" s="219">
        <f ca="1">BS_Fcast_TO!P62</f>
        <v>34.73815489236145</v>
      </c>
      <c r="Q64" s="219">
        <f ca="1">BS_Fcast_TO!Q62</f>
        <v>35.669171264670474</v>
      </c>
    </row>
    <row r="65" spans="3:17" s="24" customFormat="1" hidden="1" outlineLevel="2">
      <c r="E65" s="170" t="s">
        <v>562</v>
      </c>
      <c r="I65" s="237"/>
      <c r="J65" s="176">
        <f>BS_Fcast_TO!J63</f>
        <v>0</v>
      </c>
      <c r="K65" s="176">
        <f>BS_Fcast_TO!K63</f>
        <v>0</v>
      </c>
      <c r="L65" s="176">
        <f>BS_Fcast_TO!L63</f>
        <v>0</v>
      </c>
      <c r="M65" s="176">
        <f ca="1">BS_Fcast_TO!M63</f>
        <v>-16.153325097656253</v>
      </c>
      <c r="N65" s="176">
        <f ca="1">BS_Fcast_TO!N63</f>
        <v>-16.528720725097664</v>
      </c>
      <c r="O65" s="176">
        <f ca="1">BS_Fcast_TO!O63</f>
        <v>-16.914923118225101</v>
      </c>
      <c r="P65" s="176">
        <f ca="1">BS_Fcast_TO!P63</f>
        <v>-17.369077446180725</v>
      </c>
      <c r="Q65" s="176">
        <f ca="1">BS_Fcast_TO!Q63</f>
        <v>-17.834585632335237</v>
      </c>
    </row>
    <row r="66" spans="3:17" s="24" customFormat="1" collapsed="1">
      <c r="D66" s="203" t="str">
        <f>BS_Hist_TA!D63</f>
        <v>Retained Profits</v>
      </c>
      <c r="I66" s="219">
        <f>IF(ISBLANK(I$12),BS_Hist_TO!$I$64,SUM(I61:I65))</f>
        <v>20.347773972602738</v>
      </c>
      <c r="J66" s="219">
        <f>IF(ISBLANK(J$12),BS_Hist_TO!$I$64,SUM(J61:J65))</f>
        <v>22.847773972602738</v>
      </c>
      <c r="K66" s="219">
        <f>IF(ISBLANK(K$12),BS_Hist_TO!$I$64,SUM(K61:K65))</f>
        <v>30.667930222602777</v>
      </c>
      <c r="L66" s="219">
        <f>IF(ISBLANK(L$12),BS_Hist_TO!$I$64,SUM(L61:L65))</f>
        <v>46.399527878852751</v>
      </c>
      <c r="M66" s="219">
        <f ca="1">IF(ISBLANK(M$12),BS_Hist_TO!$I$64,SUM(M61:M65))</f>
        <v>62.552852976509001</v>
      </c>
      <c r="N66" s="219">
        <f ca="1">IF(ISBLANK(N$12),BS_Hist_TO!$I$64,SUM(N61:N65))</f>
        <v>79.081573701606658</v>
      </c>
      <c r="O66" s="219">
        <f ca="1">IF(ISBLANK(O$12),BS_Hist_TO!$I$64,SUM(O61:O65))</f>
        <v>95.996496819831762</v>
      </c>
      <c r="P66" s="219">
        <f ca="1">IF(ISBLANK(P$12),BS_Hist_TO!$I$64,SUM(P61:P65))</f>
        <v>113.3655742660125</v>
      </c>
      <c r="Q66" s="219">
        <f ca="1">IF(ISBLANK(Q$12),BS_Hist_TO!$I$64,SUM(Q61:Q65))</f>
        <v>131.20015989834775</v>
      </c>
    </row>
    <row r="67" spans="3:17" s="24" customFormat="1">
      <c r="I67" s="143"/>
      <c r="J67" s="143"/>
      <c r="K67" s="143"/>
      <c r="L67" s="143"/>
      <c r="M67" s="143"/>
      <c r="N67" s="143"/>
      <c r="O67" s="143"/>
      <c r="P67" s="143"/>
      <c r="Q67" s="143"/>
    </row>
    <row r="68" spans="3:17" s="24" customFormat="1" ht="11.25">
      <c r="C68" s="216" t="str">
        <f>BS_Hist_TA!C65</f>
        <v>Total Equity</v>
      </c>
      <c r="I68" s="211">
        <f>I59+I60+I66</f>
        <v>100.34777397260274</v>
      </c>
      <c r="J68" s="211">
        <f t="shared" ref="J68:Q68" si="17">J59+J60+J66</f>
        <v>102.84777397260274</v>
      </c>
      <c r="K68" s="211">
        <f t="shared" si="17"/>
        <v>110.66793022260278</v>
      </c>
      <c r="L68" s="211">
        <f t="shared" si="17"/>
        <v>126.39952787885275</v>
      </c>
      <c r="M68" s="211">
        <f t="shared" ca="1" si="17"/>
        <v>142.95285297650901</v>
      </c>
      <c r="N68" s="211">
        <f t="shared" ca="1" si="17"/>
        <v>159.58157370160666</v>
      </c>
      <c r="O68" s="211">
        <f t="shared" ca="1" si="17"/>
        <v>176.59649681983177</v>
      </c>
      <c r="P68" s="211">
        <f t="shared" ca="1" si="17"/>
        <v>194.0655742660125</v>
      </c>
      <c r="Q68" s="211">
        <f t="shared" ca="1" si="17"/>
        <v>212.00015989834776</v>
      </c>
    </row>
    <row r="69" spans="3:17" s="15" customFormat="1">
      <c r="J69" s="175"/>
      <c r="K69" s="175"/>
      <c r="L69" s="175"/>
      <c r="M69" s="175"/>
      <c r="N69" s="175"/>
      <c r="O69" s="175"/>
      <c r="P69" s="175"/>
      <c r="Q69" s="175"/>
    </row>
    <row r="70" spans="3:17" s="15" customFormat="1" hidden="1" outlineLevel="2">
      <c r="D70" s="170" t="s">
        <v>488</v>
      </c>
      <c r="I70" s="141">
        <f>IF(ISERROR(I55-I68),1,0)</f>
        <v>0</v>
      </c>
      <c r="J70" s="141">
        <f>IF(ISERROR(J55-J68),1,0)</f>
        <v>0</v>
      </c>
      <c r="K70" s="141">
        <f t="shared" ref="K70:Q70" si="18">IF(ISERROR(K55-K68),1,0)</f>
        <v>0</v>
      </c>
      <c r="L70" s="141">
        <f t="shared" si="18"/>
        <v>0</v>
      </c>
      <c r="M70" s="141">
        <f t="shared" ca="1" si="18"/>
        <v>0</v>
      </c>
      <c r="N70" s="141">
        <f t="shared" ca="1" si="18"/>
        <v>0</v>
      </c>
      <c r="O70" s="141">
        <f t="shared" ca="1" si="18"/>
        <v>0</v>
      </c>
      <c r="P70" s="141">
        <f t="shared" ca="1" si="18"/>
        <v>0</v>
      </c>
      <c r="Q70" s="141">
        <f t="shared" ca="1" si="18"/>
        <v>0</v>
      </c>
    </row>
    <row r="71" spans="3:17" s="15" customFormat="1" hidden="1" outlineLevel="2">
      <c r="D71" s="170" t="s">
        <v>418</v>
      </c>
      <c r="I71" s="124">
        <f>IF(I70&lt;&gt;0,0,(ROUND(I55-I68,5)&lt;&gt;0)*1)</f>
        <v>0</v>
      </c>
      <c r="J71" s="124">
        <f>IF(J70&lt;&gt;0,0,(ROUND(J55-J68,5)&lt;&gt;0)*1)</f>
        <v>0</v>
      </c>
      <c r="K71" s="124">
        <f t="shared" ref="K71:Q71" si="19">IF(K70&lt;&gt;0,0,(ROUND(K55-K68,5)&lt;&gt;0)*1)</f>
        <v>0</v>
      </c>
      <c r="L71" s="124">
        <f t="shared" si="19"/>
        <v>0</v>
      </c>
      <c r="M71" s="124">
        <f t="shared" ca="1" si="19"/>
        <v>0</v>
      </c>
      <c r="N71" s="124">
        <f t="shared" ca="1" si="19"/>
        <v>0</v>
      </c>
      <c r="O71" s="124">
        <f t="shared" ca="1" si="19"/>
        <v>0</v>
      </c>
      <c r="P71" s="124">
        <f t="shared" ca="1" si="19"/>
        <v>0</v>
      </c>
      <c r="Q71" s="124">
        <f t="shared" ca="1" si="19"/>
        <v>0</v>
      </c>
    </row>
    <row r="72" spans="3:17" s="15" customFormat="1" collapsed="1">
      <c r="C72" s="170" t="s">
        <v>414</v>
      </c>
      <c r="H72" s="98">
        <f ca="1">IF(ISERROR(SUM(I72:Q72)),0,MIN(SUM(I72:Q72),1))</f>
        <v>0</v>
      </c>
      <c r="I72" s="95">
        <f t="shared" ref="I72:Q72" si="20">MIN(SUM(I70:I71),1)</f>
        <v>0</v>
      </c>
      <c r="J72" s="95">
        <f t="shared" si="20"/>
        <v>0</v>
      </c>
      <c r="K72" s="95">
        <f t="shared" si="20"/>
        <v>0</v>
      </c>
      <c r="L72" s="95">
        <f t="shared" si="20"/>
        <v>0</v>
      </c>
      <c r="M72" s="95">
        <f t="shared" ca="1" si="20"/>
        <v>0</v>
      </c>
      <c r="N72" s="95">
        <f t="shared" ca="1" si="20"/>
        <v>0</v>
      </c>
      <c r="O72" s="95">
        <f t="shared" ca="1" si="20"/>
        <v>0</v>
      </c>
      <c r="P72" s="95">
        <f t="shared" ca="1" si="20"/>
        <v>0</v>
      </c>
      <c r="Q72" s="95">
        <f t="shared" ca="1" si="20"/>
        <v>0</v>
      </c>
    </row>
    <row r="73" spans="3:17" s="15" customFormat="1" hidden="1" outlineLevel="2"/>
    <row r="74" spans="3:17" s="15" customFormat="1" collapsed="1">
      <c r="C74" s="170" t="s">
        <v>419</v>
      </c>
      <c r="H74" s="98">
        <f ca="1">IF(ISERROR(SUM(I74:Q74)),0,MIN(SUM(I74:Q74),1))</f>
        <v>0</v>
      </c>
      <c r="I74" s="95">
        <f>IF(ISERROR(I22),0,(I22&lt;0)*1)</f>
        <v>0</v>
      </c>
      <c r="J74" s="95">
        <f>IF(ISERROR(J22),0,(J22&lt;0)*1)</f>
        <v>0</v>
      </c>
      <c r="K74" s="95">
        <f t="shared" ref="K74:Q74" si="21">IF(ISERROR(K22),0,(K22&lt;0)*1)</f>
        <v>0</v>
      </c>
      <c r="L74" s="95">
        <f t="shared" si="21"/>
        <v>0</v>
      </c>
      <c r="M74" s="95">
        <f t="shared" ca="1" si="21"/>
        <v>0</v>
      </c>
      <c r="N74" s="95">
        <f t="shared" ca="1" si="21"/>
        <v>0</v>
      </c>
      <c r="O74" s="95">
        <f t="shared" ca="1" si="21"/>
        <v>0</v>
      </c>
      <c r="P74" s="95">
        <f t="shared" ca="1" si="21"/>
        <v>0</v>
      </c>
      <c r="Q74" s="95">
        <f t="shared" ca="1" si="21"/>
        <v>0</v>
      </c>
    </row>
    <row r="75" spans="3:17" s="24" customFormat="1"/>
    <row r="76" spans="3:17" s="24" customFormat="1">
      <c r="C76" s="179" t="str">
        <f>BS_Hist_TA!C75</f>
        <v>Notes</v>
      </c>
    </row>
    <row r="77" spans="3:17" s="24" customFormat="1">
      <c r="C77" s="218">
        <f>BS_Hist_TA!C76</f>
        <v>1</v>
      </c>
      <c r="D77" s="214" t="str">
        <f>"All balances are specified in "&amp;INDEX(LU_Denom,DD_TS_Denom)&amp;"."</f>
        <v>All balances are specified in $Millions.</v>
      </c>
    </row>
  </sheetData>
  <mergeCells count="1">
    <mergeCell ref="B3:F3"/>
  </mergeCells>
  <conditionalFormatting sqref="J74:Q74 H74 H72 I70:Q72">
    <cfRule type="cellIs" dxfId="50" priority="10" stopIfTrue="1" operator="notEqual">
      <formula>0</formula>
    </cfRule>
  </conditionalFormatting>
  <conditionalFormatting sqref="C72 C74">
    <cfRule type="expression" dxfId="49" priority="9" stopIfTrue="1">
      <formula>H72&lt;&gt;0</formula>
    </cfRule>
  </conditionalFormatting>
  <conditionalFormatting sqref="I22:I60 I66:I73 I60:Q60 I68:Q68 I22:Q22 I66:Q66 J22:Q74">
    <cfRule type="expression" dxfId="48" priority="8" stopIfTrue="1">
      <formula>AND(NOT(ISBLANK(I$12)),I$12=0)</formula>
    </cfRule>
  </conditionalFormatting>
  <conditionalFormatting sqref="H72 H74">
    <cfRule type="expression" dxfId="47" priority="13" stopIfTrue="1">
      <formula>AND(NOT(ISBLANK(I$12)),I$12=0)</formula>
    </cfRule>
  </conditionalFormatting>
  <conditionalFormatting sqref="I74">
    <cfRule type="cellIs" dxfId="46" priority="2" stopIfTrue="1" operator="notEqual">
      <formula>0</formula>
    </cfRule>
  </conditionalFormatting>
  <conditionalFormatting sqref="I74">
    <cfRule type="expression" dxfId="45" priority="1" stopIfTrue="1">
      <formula>AND(NOT(ISBLANK(I$12)),I$12=0)</formula>
    </cfRule>
  </conditionalFormatting>
  <dataValidations count="1">
    <dataValidation type="custom" showErrorMessage="1" errorTitle="Invalid Assumption" error="Assumption must be a number." sqref="I48:Q50 I59:I60 I39:Q43 I29:Q32 I66:Q66 I22:Q24 J59:Q65">
      <formula1>NOT(ISERROR(I22/1))</formula1>
    </dataValidation>
  </dataValidations>
  <hyperlinks>
    <hyperlink ref="B3" location="HL_Home" tooltip="Go to Table of Contents" display="HL_Home"/>
    <hyperlink ref="A4" location="$B$14" tooltip="Go to Top of Sheet" display="$B$14"/>
    <hyperlink ref="B4" location="HL_Sheet_Main_17" tooltip="Go to Previous Sheet" display="HL_Sheet_Main_17"/>
    <hyperlink ref="C4" location="HL_Sheet_Main_33" tooltip="Go to Next Sheet" display="HL_Sheet_Main_33"/>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45" min="1" max="16" man="1"/>
  </rowBreaks>
  <legacyDrawing r:id="rId2"/>
</worksheet>
</file>

<file path=xl/worksheets/sheet3.xml><?xml version="1.0" encoding="utf-8"?>
<worksheet xmlns="http://schemas.openxmlformats.org/spreadsheetml/2006/main" xmlns:r="http://schemas.openxmlformats.org/officeDocument/2006/relationships">
  <sheetPr codeName="Sheet3">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295</v>
      </c>
    </row>
    <row r="10" spans="3:7" ht="16.5">
      <c r="C10" s="27" t="s">
        <v>191</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460</v>
      </c>
    </row>
    <row r="18" spans="3:3">
      <c r="C18" s="170" t="s">
        <v>285</v>
      </c>
    </row>
    <row r="19" spans="3:3">
      <c r="C19" s="170" t="s">
        <v>286</v>
      </c>
    </row>
    <row r="20" spans="3:3">
      <c r="C20" s="170" t="s">
        <v>296</v>
      </c>
    </row>
  </sheetData>
  <mergeCells count="1">
    <mergeCell ref="C12:G12"/>
  </mergeCells>
  <hyperlinks>
    <hyperlink ref="C12" location="HL_Home" tooltip="Go to Table of Contents" display="HL_Home"/>
    <hyperlink ref="C13" location="HL_Sheet_Main_24" tooltip="Go to Previous Sheet" display="HL_Sheet_Main_24"/>
    <hyperlink ref="D13" location="HL_Sheet_Main_3" tooltip="Go to Next Sheet" display="HL_Sheet_Main_3"/>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30.xml><?xml version="1.0" encoding="utf-8"?>
<worksheet xmlns="http://schemas.openxmlformats.org/spreadsheetml/2006/main" xmlns:r="http://schemas.openxmlformats.org/officeDocument/2006/relationships">
  <sheetPr codeName="Sheet39">
    <pageSetUpPr autoPageBreaks="0"/>
  </sheetPr>
  <dimension ref="A1:Q58"/>
  <sheetViews>
    <sheetView showGridLines="0" zoomScaleNormal="100" workbookViewId="0">
      <pane xSplit="1" ySplit="13" topLeftCell="B14" activePane="bottomRight" state="frozen"/>
      <selection activeCell="C11" sqref="C11:G11"/>
      <selection pane="topRight" activeCell="C11" sqref="C11:G11"/>
      <selection pane="bottomLeft" activeCell="C11" sqref="C11:G11"/>
      <selection pane="bottomRight"/>
    </sheetView>
  </sheetViews>
  <sheetFormatPr defaultColWidth="11.83203125" defaultRowHeight="10.5" outlineLevelRow="2"/>
  <cols>
    <col min="1" max="5" width="3.83203125" customWidth="1"/>
  </cols>
  <sheetData>
    <row r="1" spans="1:17" ht="18">
      <c r="B1" s="1" t="s">
        <v>553</v>
      </c>
    </row>
    <row r="2" spans="1:17" ht="15">
      <c r="B2" s="2" t="str">
        <f ca="1">Model_Name</f>
        <v>SMA 5. Assumption Entry Interfaces - Best Practice Model Example</v>
      </c>
    </row>
    <row r="3" spans="1:17">
      <c r="B3" s="272" t="s">
        <v>48</v>
      </c>
      <c r="C3" s="272"/>
      <c r="D3" s="272"/>
      <c r="E3" s="272"/>
      <c r="F3" s="272"/>
    </row>
    <row r="4" spans="1:17" ht="12.75">
      <c r="A4" s="10" t="s">
        <v>51</v>
      </c>
      <c r="B4" s="11" t="s">
        <v>53</v>
      </c>
      <c r="C4" s="12" t="s">
        <v>102</v>
      </c>
      <c r="D4" s="265" t="s">
        <v>205</v>
      </c>
      <c r="E4" s="265" t="s">
        <v>206</v>
      </c>
      <c r="F4" s="13" t="s">
        <v>207</v>
      </c>
    </row>
    <row r="6" spans="1:17">
      <c r="B6" s="83" t="str">
        <f>IF(TS_Pers_In_Yr=1,"",TS_Per_Type_Name&amp;" Ending")</f>
        <v/>
      </c>
      <c r="J6" s="84" t="str">
        <f t="shared" ref="J6:Q6" si="0">IF(TS_Pers_In_Yr=1,"",LEFT(INDEX(LU_Mth_Names,MONTH(J9)),3)&amp;"-"&amp;RIGHT(YEAR(J9),2))&amp;" "</f>
        <v xml:space="preserve"> </v>
      </c>
      <c r="K6" s="84" t="str">
        <f t="shared" si="0"/>
        <v xml:space="preserve"> </v>
      </c>
      <c r="L6" s="84" t="str">
        <f t="shared" si="0"/>
        <v xml:space="preserve"> </v>
      </c>
      <c r="M6" s="84" t="str">
        <f t="shared" si="0"/>
        <v xml:space="preserve"> </v>
      </c>
      <c r="N6" s="84" t="str">
        <f t="shared" si="0"/>
        <v xml:space="preserve"> </v>
      </c>
      <c r="O6" s="84" t="str">
        <f t="shared" si="0"/>
        <v xml:space="preserve"> </v>
      </c>
      <c r="P6" s="84" t="str">
        <f t="shared" si="0"/>
        <v xml:space="preserve"> </v>
      </c>
      <c r="Q6" s="84" t="str">
        <f t="shared" si="0"/>
        <v xml:space="preserve"> </v>
      </c>
    </row>
    <row r="7" spans="1:17">
      <c r="B7" s="89" t="str">
        <f>IF(TS_Pers_In_Yr=1,Yr_Name&amp;" Ending "&amp;DAY(TS_Per_1_End_Date)&amp;" "&amp;INDEX(LU_Mth_Names,DD_TS_Fin_YE_Mth),TS_Per_Type_Name)</f>
        <v>Year Ending 31 December</v>
      </c>
      <c r="C7" s="17"/>
      <c r="D7" s="17"/>
      <c r="E7" s="17"/>
      <c r="F7" s="17"/>
      <c r="G7" s="17"/>
      <c r="H7" s="17"/>
      <c r="I7" s="17"/>
      <c r="J7" s="90" t="str">
        <f t="shared" ref="J7:Q7" si="1">IF(TS_Pers_In_Yr=1,J10&amp;" ",J11)&amp;IF(CB_TS_Show_Hist_Fcast_Pers,IF(J12&lt;=TS_Actual_Pers,TS_Actual_Per_Title,
IF(J12&lt;=TS_Actual_Pers+TS_Budget_Pers,TS_Budget_Per_Title,TS_Fcast_Per_Title))&amp;" ","")</f>
        <v xml:space="preserve">2010 (A) </v>
      </c>
      <c r="K7" s="90" t="str">
        <f t="shared" si="1"/>
        <v xml:space="preserve">2011 (A) </v>
      </c>
      <c r="L7" s="90" t="str">
        <f t="shared" si="1"/>
        <v xml:space="preserve">2012 (A) </v>
      </c>
      <c r="M7" s="90" t="str">
        <f t="shared" si="1"/>
        <v xml:space="preserve">2013 (F) </v>
      </c>
      <c r="N7" s="90" t="str">
        <f t="shared" si="1"/>
        <v xml:space="preserve">2014 (F) </v>
      </c>
      <c r="O7" s="90" t="str">
        <f t="shared" si="1"/>
        <v xml:space="preserve">2015 (F) </v>
      </c>
      <c r="P7" s="90" t="str">
        <f t="shared" si="1"/>
        <v xml:space="preserve">2016 (F) </v>
      </c>
      <c r="Q7" s="90" t="str">
        <f t="shared" si="1"/>
        <v xml:space="preserve">2017 (F) </v>
      </c>
    </row>
    <row r="8" spans="1:17" hidden="1" outlineLevel="2">
      <c r="B8" s="205" t="s">
        <v>221</v>
      </c>
      <c r="J8" s="85">
        <f t="shared" ref="J8:Q8" si="2">IF(J12=1,TS_Start_Date,I9+1)</f>
        <v>40179</v>
      </c>
      <c r="K8" s="85">
        <f t="shared" si="2"/>
        <v>40544</v>
      </c>
      <c r="L8" s="85">
        <f t="shared" si="2"/>
        <v>40909</v>
      </c>
      <c r="M8" s="85">
        <f t="shared" si="2"/>
        <v>41275</v>
      </c>
      <c r="N8" s="85">
        <f t="shared" si="2"/>
        <v>41640</v>
      </c>
      <c r="O8" s="85">
        <f t="shared" si="2"/>
        <v>42005</v>
      </c>
      <c r="P8" s="85">
        <f t="shared" si="2"/>
        <v>42370</v>
      </c>
      <c r="Q8" s="85">
        <f t="shared" si="2"/>
        <v>42736</v>
      </c>
    </row>
    <row r="9" spans="1:17" hidden="1" outlineLevel="2">
      <c r="B9" s="205" t="s">
        <v>222</v>
      </c>
      <c r="J9" s="85">
        <f t="shared" ref="J9:Q9" si="3">IF(J12=1,TS_Per_1_End_Date,
IF(TS_Mth_End,EOMONTH(EDATE(TS_Per_1_FY_Start_Date,(TS_Per_1_Number+J12-1)*TS_Mths_In_Per-1),0),
EDATE(TS_Per_1_FY_Start_Date,(TS_Per_1_Number+J12-1)*TS_Mths_In_Per)-1))</f>
        <v>40543</v>
      </c>
      <c r="K9" s="85">
        <f t="shared" si="3"/>
        <v>40908</v>
      </c>
      <c r="L9" s="85">
        <f t="shared" si="3"/>
        <v>41274</v>
      </c>
      <c r="M9" s="85">
        <f t="shared" si="3"/>
        <v>41639</v>
      </c>
      <c r="N9" s="85">
        <f t="shared" si="3"/>
        <v>42004</v>
      </c>
      <c r="O9" s="85">
        <f t="shared" si="3"/>
        <v>42369</v>
      </c>
      <c r="P9" s="85">
        <f t="shared" si="3"/>
        <v>42735</v>
      </c>
      <c r="Q9" s="85">
        <f t="shared" si="3"/>
        <v>43100</v>
      </c>
    </row>
    <row r="10" spans="1:17" hidden="1" outlineLevel="2">
      <c r="B10" s="205" t="s">
        <v>219</v>
      </c>
      <c r="J10" s="86">
        <f t="shared" ref="J10:Q10" si="4">YEAR(TS_Per_1_FY_End_Date)+INT((TS_Per_1_Number+J12-2)/TS_Pers_In_Yr)</f>
        <v>2010</v>
      </c>
      <c r="K10" s="86">
        <f t="shared" si="4"/>
        <v>2011</v>
      </c>
      <c r="L10" s="86">
        <f t="shared" si="4"/>
        <v>2012</v>
      </c>
      <c r="M10" s="86">
        <f t="shared" si="4"/>
        <v>2013</v>
      </c>
      <c r="N10" s="86">
        <f t="shared" si="4"/>
        <v>2014</v>
      </c>
      <c r="O10" s="86">
        <f t="shared" si="4"/>
        <v>2015</v>
      </c>
      <c r="P10" s="86">
        <f t="shared" si="4"/>
        <v>2016</v>
      </c>
      <c r="Q10" s="86">
        <f t="shared" si="4"/>
        <v>2017</v>
      </c>
    </row>
    <row r="11" spans="1:17" hidden="1" outlineLevel="2">
      <c r="B11" s="205" t="s">
        <v>220</v>
      </c>
      <c r="J11" s="87" t="str">
        <f t="shared" ref="J11:Q11" si="5">IF(TS_Pers_In_Yr=1,Yr_Name,TS_Per_Type_Prefix&amp;IF(MOD(TS_Per_1_Number+J12-1,TS_Pers_In_Yr)=0,TS_Pers_In_Yr,MOD(TS_Per_1_Number+J12-1,TS_Pers_In_Yr)))&amp;" "</f>
        <v xml:space="preserve">Year </v>
      </c>
      <c r="K11" s="87" t="str">
        <f t="shared" si="5"/>
        <v xml:space="preserve">Year </v>
      </c>
      <c r="L11" s="87" t="str">
        <f t="shared" si="5"/>
        <v xml:space="preserve">Year </v>
      </c>
      <c r="M11" s="87" t="str">
        <f t="shared" si="5"/>
        <v xml:space="preserve">Year </v>
      </c>
      <c r="N11" s="87" t="str">
        <f t="shared" si="5"/>
        <v xml:space="preserve">Year </v>
      </c>
      <c r="O11" s="87" t="str">
        <f t="shared" si="5"/>
        <v xml:space="preserve">Year </v>
      </c>
      <c r="P11" s="87" t="str">
        <f t="shared" si="5"/>
        <v xml:space="preserve">Year </v>
      </c>
      <c r="Q11" s="87" t="str">
        <f t="shared" si="5"/>
        <v xml:space="preserve">Year </v>
      </c>
    </row>
    <row r="12" spans="1:17" hidden="1" outlineLevel="2">
      <c r="B12" s="205" t="s">
        <v>223</v>
      </c>
      <c r="J12" s="88">
        <f>COLUMN(J12)-COLUMN($J12)+1</f>
        <v>1</v>
      </c>
      <c r="K12" s="88">
        <f t="shared" ref="K12:Q12" si="6">COLUMN(K12)-COLUMN($J12)+1</f>
        <v>2</v>
      </c>
      <c r="L12" s="88">
        <f t="shared" si="6"/>
        <v>3</v>
      </c>
      <c r="M12" s="88">
        <f t="shared" si="6"/>
        <v>4</v>
      </c>
      <c r="N12" s="88">
        <f t="shared" si="6"/>
        <v>5</v>
      </c>
      <c r="O12" s="88">
        <f t="shared" si="6"/>
        <v>6</v>
      </c>
      <c r="P12" s="88">
        <f t="shared" si="6"/>
        <v>7</v>
      </c>
      <c r="Q12" s="88">
        <f t="shared" si="6"/>
        <v>8</v>
      </c>
    </row>
    <row r="13" spans="1:17" hidden="1" outlineLevel="2">
      <c r="B13" s="91" t="s">
        <v>387</v>
      </c>
      <c r="C13" s="17"/>
      <c r="D13" s="17"/>
      <c r="E13" s="17"/>
      <c r="F13" s="17"/>
      <c r="G13" s="17"/>
      <c r="H13" s="17"/>
      <c r="I13" s="17"/>
      <c r="J13" s="92" t="str">
        <f>J10&amp;"-"&amp;J11</f>
        <v xml:space="preserve">2010-Year </v>
      </c>
      <c r="K13" s="92" t="str">
        <f t="shared" ref="K13:Q13" si="7">K10&amp;"-"&amp;K11</f>
        <v xml:space="preserve">2011-Year </v>
      </c>
      <c r="L13" s="92" t="str">
        <f t="shared" si="7"/>
        <v xml:space="preserve">2012-Year </v>
      </c>
      <c r="M13" s="92" t="str">
        <f t="shared" si="7"/>
        <v xml:space="preserve">2013-Year </v>
      </c>
      <c r="N13" s="92" t="str">
        <f t="shared" si="7"/>
        <v xml:space="preserve">2014-Year </v>
      </c>
      <c r="O13" s="92" t="str">
        <f t="shared" si="7"/>
        <v xml:space="preserve">2015-Year </v>
      </c>
      <c r="P13" s="92" t="str">
        <f t="shared" si="7"/>
        <v xml:space="preserve">2016-Year </v>
      </c>
      <c r="Q13" s="92" t="str">
        <f t="shared" si="7"/>
        <v xml:space="preserve">2017-Year </v>
      </c>
    </row>
    <row r="14" spans="1:17" collapsed="1"/>
    <row r="16" spans="1:17" s="15" customFormat="1" ht="12.75">
      <c r="B16" s="119" t="s">
        <v>424</v>
      </c>
    </row>
    <row r="17" spans="3:17" s="15" customFormat="1"/>
    <row r="18" spans="3:17" s="15" customFormat="1" ht="11.25">
      <c r="C18" s="93" t="s">
        <v>15</v>
      </c>
    </row>
    <row r="19" spans="3:17" s="15" customFormat="1"/>
    <row r="20" spans="3:17" s="15" customFormat="1" hidden="1" outlineLevel="2">
      <c r="E20" s="5" t="str">
        <f>Fcast_OP_TO!C18</f>
        <v>Revenue</v>
      </c>
      <c r="J20" s="94">
        <f>CFS_Hist_TO!J20+CFS_Fcast_TO!J20</f>
        <v>125</v>
      </c>
      <c r="K20" s="94">
        <f>CFS_Hist_TO!K20+CFS_Fcast_TO!K20</f>
        <v>128.125</v>
      </c>
      <c r="L20" s="94">
        <f>CFS_Hist_TO!L20+CFS_Fcast_TO!L20</f>
        <v>131.328125</v>
      </c>
      <c r="M20" s="94">
        <f>CFS_Hist_TO!M20+CFS_Fcast_TO!M20</f>
        <v>134.611328125</v>
      </c>
      <c r="N20" s="94">
        <f>CFS_Hist_TO!N20+CFS_Fcast_TO!N20</f>
        <v>137.97661132812499</v>
      </c>
      <c r="O20" s="94">
        <f>CFS_Hist_TO!O20+CFS_Fcast_TO!O20</f>
        <v>141.4260266113281</v>
      </c>
      <c r="P20" s="94">
        <f>CFS_Hist_TO!P20+CFS_Fcast_TO!P20</f>
        <v>144.96167727661128</v>
      </c>
      <c r="Q20" s="94">
        <f>CFS_Hist_TO!Q20+CFS_Fcast_TO!Q20</f>
        <v>148.58571920852654</v>
      </c>
    </row>
    <row r="21" spans="3:17" s="15" customFormat="1" hidden="1" outlineLevel="2">
      <c r="E21" s="170" t="s">
        <v>420</v>
      </c>
      <c r="J21" s="122">
        <f>CFS_Hist_TO!J21+CFS_Fcast_TO!J21</f>
        <v>10.726027397260282</v>
      </c>
      <c r="K21" s="122">
        <f>CFS_Hist_TO!K21+CFS_Fcast_TO!K21</f>
        <v>-0.25684931506850717</v>
      </c>
      <c r="L21" s="122">
        <f>CFS_Hist_TO!L21+CFS_Fcast_TO!L21</f>
        <v>-0.23377849202785228</v>
      </c>
      <c r="M21" s="122">
        <f ca="1">CFS_Hist_TO!M21+CFS_Fcast_TO!M21</f>
        <v>-0.29934436756118998</v>
      </c>
      <c r="N21" s="122">
        <f>CFS_Hist_TO!N21+CFS_Fcast_TO!N21</f>
        <v>-0.27659861943493524</v>
      </c>
      <c r="O21" s="122">
        <f>CFS_Hist_TO!O21+CFS_Fcast_TO!O21</f>
        <v>-0.28351358492079726</v>
      </c>
      <c r="P21" s="122">
        <f>CFS_Hist_TO!P21+CFS_Fcast_TO!P21</f>
        <v>-0.25804771305121221</v>
      </c>
      <c r="Q21" s="122">
        <f>CFS_Hist_TO!Q21+CFS_Fcast_TO!Q21</f>
        <v>-0.3304201716500188</v>
      </c>
    </row>
    <row r="22" spans="3:17" s="15" customFormat="1" collapsed="1">
      <c r="D22" s="170" t="s">
        <v>238</v>
      </c>
      <c r="J22" s="94">
        <f>J20+J21</f>
        <v>135.72602739726028</v>
      </c>
      <c r="K22" s="94">
        <f t="shared" ref="K22:Q22" si="8">K20+K21</f>
        <v>127.86815068493149</v>
      </c>
      <c r="L22" s="94">
        <f t="shared" si="8"/>
        <v>131.09434650797215</v>
      </c>
      <c r="M22" s="94">
        <f t="shared" ca="1" si="8"/>
        <v>134.31198375743881</v>
      </c>
      <c r="N22" s="94">
        <f t="shared" si="8"/>
        <v>137.70001270869005</v>
      </c>
      <c r="O22" s="94">
        <f t="shared" si="8"/>
        <v>141.1425130264073</v>
      </c>
      <c r="P22" s="94">
        <f t="shared" si="8"/>
        <v>144.70362956356007</v>
      </c>
      <c r="Q22" s="94">
        <f t="shared" si="8"/>
        <v>148.25529903687652</v>
      </c>
    </row>
    <row r="23" spans="3:17" s="15" customFormat="1" hidden="1" outlineLevel="2">
      <c r="D23" s="5"/>
      <c r="E23" s="5" t="str">
        <f>Fcast_OP_TO!C19</f>
        <v>Cost of Goods Sold</v>
      </c>
      <c r="J23" s="94">
        <f>CFS_Hist_TO!J23+CFS_Fcast_TO!J23</f>
        <v>-25</v>
      </c>
      <c r="K23" s="94">
        <f>CFS_Hist_TO!K23+CFS_Fcast_TO!K23</f>
        <v>-25.624999999999996</v>
      </c>
      <c r="L23" s="94">
        <f>CFS_Hist_TO!L23+CFS_Fcast_TO!L23</f>
        <v>-26.265624999999993</v>
      </c>
      <c r="M23" s="94">
        <f>CFS_Hist_TO!M23+CFS_Fcast_TO!M23</f>
        <v>-26.922265624999991</v>
      </c>
      <c r="N23" s="94">
        <f>CFS_Hist_TO!N23+CFS_Fcast_TO!N23</f>
        <v>-27.59532226562499</v>
      </c>
      <c r="O23" s="94">
        <f>CFS_Hist_TO!O23+CFS_Fcast_TO!O23</f>
        <v>-28.285205322265611</v>
      </c>
      <c r="P23" s="94">
        <f>CFS_Hist_TO!P23+CFS_Fcast_TO!P23</f>
        <v>-28.992335455322248</v>
      </c>
      <c r="Q23" s="94">
        <f>CFS_Hist_TO!Q23+CFS_Fcast_TO!Q23</f>
        <v>-29.717143841705301</v>
      </c>
    </row>
    <row r="24" spans="3:17" s="15" customFormat="1" hidden="1" outlineLevel="2">
      <c r="D24" s="5"/>
      <c r="E24" s="5" t="str">
        <f>Fcast_OP_TO!C20</f>
        <v>Operating Expenditure</v>
      </c>
      <c r="J24" s="94">
        <f>CFS_Hist_TO!J24+CFS_Fcast_TO!J24</f>
        <v>-40</v>
      </c>
      <c r="K24" s="94">
        <f>CFS_Hist_TO!K24+CFS_Fcast_TO!K24</f>
        <v>-41</v>
      </c>
      <c r="L24" s="94">
        <f>CFS_Hist_TO!L24+CFS_Fcast_TO!L24</f>
        <v>-42.024999999999999</v>
      </c>
      <c r="M24" s="94">
        <f>CFS_Hist_TO!M24+CFS_Fcast_TO!M24</f>
        <v>-43.075624999999995</v>
      </c>
      <c r="N24" s="94">
        <f>CFS_Hist_TO!N24+CFS_Fcast_TO!N24</f>
        <v>-44.152515624999992</v>
      </c>
      <c r="O24" s="94">
        <f>CFS_Hist_TO!O24+CFS_Fcast_TO!O24</f>
        <v>-45.256328515624986</v>
      </c>
      <c r="P24" s="94">
        <f>CFS_Hist_TO!P24+CFS_Fcast_TO!P24</f>
        <v>-46.387736728515605</v>
      </c>
      <c r="Q24" s="94">
        <f>CFS_Hist_TO!Q24+CFS_Fcast_TO!Q24</f>
        <v>-47.547430146728495</v>
      </c>
    </row>
    <row r="25" spans="3:17" s="15" customFormat="1" hidden="1" outlineLevel="2">
      <c r="D25" s="5"/>
      <c r="E25" s="170" t="s">
        <v>421</v>
      </c>
      <c r="J25" s="122">
        <f>CFS_Hist_TO!J25+CFS_Fcast_TO!J25</f>
        <v>-7.9863013698630141</v>
      </c>
      <c r="K25" s="122">
        <f>CFS_Hist_TO!K25+CFS_Fcast_TO!K25</f>
        <v>0.20034246575342252</v>
      </c>
      <c r="L25" s="122">
        <f>CFS_Hist_TO!L25+CFS_Fcast_TO!L25</f>
        <v>0.18234722378171853</v>
      </c>
      <c r="M25" s="122">
        <f ca="1">CFS_Hist_TO!M25+CFS_Fcast_TO!M25</f>
        <v>0.2334886066977333</v>
      </c>
      <c r="N25" s="122">
        <f>CFS_Hist_TO!N25+CFS_Fcast_TO!N25</f>
        <v>0.21574692315924437</v>
      </c>
      <c r="O25" s="122">
        <f>CFS_Hist_TO!O25+CFS_Fcast_TO!O25</f>
        <v>0.22114059623822868</v>
      </c>
      <c r="P25" s="122">
        <f>CFS_Hist_TO!P25+CFS_Fcast_TO!P25</f>
        <v>0.20127721617994609</v>
      </c>
      <c r="Q25" s="122">
        <f>CFS_Hist_TO!Q25+CFS_Fcast_TO!Q25</f>
        <v>0.25772773388702319</v>
      </c>
    </row>
    <row r="26" spans="3:17" s="15" customFormat="1" collapsed="1">
      <c r="D26" s="170" t="s">
        <v>243</v>
      </c>
      <c r="J26" s="94">
        <f>SUM(J23:J25)</f>
        <v>-72.986301369863014</v>
      </c>
      <c r="K26" s="94">
        <f t="shared" ref="K26:Q26" si="9">SUM(K23:K25)</f>
        <v>-66.424657534246577</v>
      </c>
      <c r="L26" s="94">
        <f t="shared" si="9"/>
        <v>-68.108277776218273</v>
      </c>
      <c r="M26" s="94">
        <f t="shared" ca="1" si="9"/>
        <v>-69.764402018302249</v>
      </c>
      <c r="N26" s="94">
        <f t="shared" si="9"/>
        <v>-71.532090967465734</v>
      </c>
      <c r="O26" s="94">
        <f t="shared" si="9"/>
        <v>-73.320393241652368</v>
      </c>
      <c r="P26" s="94">
        <f t="shared" si="9"/>
        <v>-75.178794967657907</v>
      </c>
      <c r="Q26" s="94">
        <f t="shared" si="9"/>
        <v>-77.006846254546772</v>
      </c>
    </row>
    <row r="27" spans="3:17" s="15" customFormat="1">
      <c r="D27" s="5" t="str">
        <f>Fcast_OP_TO!E114</f>
        <v>Interest Paid</v>
      </c>
      <c r="J27" s="94">
        <f>CFS_Hist_TO!J27+CFS_Fcast_TO!J27</f>
        <v>-3.25</v>
      </c>
      <c r="K27" s="94">
        <f>CFS_Hist_TO!K27+CFS_Fcast_TO!K27</f>
        <v>-3.25</v>
      </c>
      <c r="L27" s="94">
        <f>CFS_Hist_TO!L27+CFS_Fcast_TO!L27</f>
        <v>-3.25</v>
      </c>
      <c r="M27" s="94">
        <f ca="1">CFS_Hist_TO!M27+CFS_Fcast_TO!M27</f>
        <v>-3.25</v>
      </c>
      <c r="N27" s="94">
        <f ca="1">CFS_Hist_TO!N27+CFS_Fcast_TO!N27</f>
        <v>-3.4125000000000001</v>
      </c>
      <c r="O27" s="94">
        <f ca="1">CFS_Hist_TO!O27+CFS_Fcast_TO!O27</f>
        <v>-3.5750000000000002</v>
      </c>
      <c r="P27" s="94">
        <f ca="1">CFS_Hist_TO!P27+CFS_Fcast_TO!P27</f>
        <v>-3.5750000000000002</v>
      </c>
      <c r="Q27" s="94">
        <f ca="1">CFS_Hist_TO!Q27+CFS_Fcast_TO!Q27</f>
        <v>-3.5750000000000002</v>
      </c>
    </row>
    <row r="28" spans="3:17" s="15" customFormat="1">
      <c r="D28" s="5" t="str">
        <f>Fcast_OP_TO!D180</f>
        <v>Tax Paid</v>
      </c>
      <c r="J28" s="94">
        <f>CFS_Hist_TO!J28+CFS_Fcast_TO!J28</f>
        <v>-3.5</v>
      </c>
      <c r="K28" s="94">
        <f>CFS_Hist_TO!K28+CFS_Fcast_TO!K28</f>
        <v>-12.7875</v>
      </c>
      <c r="L28" s="94">
        <f>CFS_Hist_TO!L28+CFS_Fcast_TO!L28</f>
        <v>-13.131562499999999</v>
      </c>
      <c r="M28" s="94">
        <f ca="1">CFS_Hist_TO!M28+CFS_Fcast_TO!M28</f>
        <v>-13.484226562500004</v>
      </c>
      <c r="N28" s="94">
        <f ca="1">CFS_Hist_TO!N28+CFS_Fcast_TO!N28</f>
        <v>-13.845707226562503</v>
      </c>
      <c r="O28" s="94">
        <f ca="1">CFS_Hist_TO!O28+CFS_Fcast_TO!O28</f>
        <v>-14.167474907226566</v>
      </c>
      <c r="P28" s="94">
        <f ca="1">CFS_Hist_TO!P28+CFS_Fcast_TO!P28</f>
        <v>-14.498505529907227</v>
      </c>
      <c r="Q28" s="94">
        <f ca="1">CFS_Hist_TO!Q28+CFS_Fcast_TO!Q28</f>
        <v>-14.887780668154907</v>
      </c>
    </row>
    <row r="29" spans="3:17" s="15" customFormat="1">
      <c r="D29" s="170" t="s">
        <v>492</v>
      </c>
      <c r="J29" s="94">
        <f>CFS_Hist_TO!J29+CFS_Fcast_TO!J29</f>
        <v>-1</v>
      </c>
      <c r="K29" s="94">
        <f>CFS_Hist_TO!K29+CFS_Fcast_TO!K29</f>
        <v>-1</v>
      </c>
      <c r="L29" s="94">
        <f>CFS_Hist_TO!L29+CFS_Fcast_TO!L29</f>
        <v>-1</v>
      </c>
      <c r="M29" s="94">
        <f ca="1">CFS_Hist_TO!M29+CFS_Fcast_TO!M29</f>
        <v>-1</v>
      </c>
      <c r="N29" s="94">
        <f>CFS_Hist_TO!N29+CFS_Fcast_TO!N29</f>
        <v>-1</v>
      </c>
      <c r="O29" s="94">
        <f>CFS_Hist_TO!O29+CFS_Fcast_TO!O29</f>
        <v>-1</v>
      </c>
      <c r="P29" s="94">
        <f>CFS_Hist_TO!P29+CFS_Fcast_TO!P29</f>
        <v>-1</v>
      </c>
      <c r="Q29" s="94">
        <f>CFS_Hist_TO!Q29+CFS_Fcast_TO!Q29</f>
        <v>-1</v>
      </c>
    </row>
    <row r="30" spans="3:17" s="15" customFormat="1">
      <c r="D30" s="170" t="s">
        <v>493</v>
      </c>
      <c r="J30" s="94">
        <f>CFS_Hist_TO!J30+CFS_Fcast_TO!J30</f>
        <v>1</v>
      </c>
      <c r="K30" s="94">
        <f>CFS_Hist_TO!K30+CFS_Fcast_TO!K30</f>
        <v>1</v>
      </c>
      <c r="L30" s="94">
        <f>CFS_Hist_TO!L30+CFS_Fcast_TO!L30</f>
        <v>1</v>
      </c>
      <c r="M30" s="94">
        <f ca="1">CFS_Hist_TO!M30+CFS_Fcast_TO!M30</f>
        <v>1</v>
      </c>
      <c r="N30" s="94">
        <f>CFS_Hist_TO!N30+CFS_Fcast_TO!N30</f>
        <v>1</v>
      </c>
      <c r="O30" s="94">
        <f>CFS_Hist_TO!O30+CFS_Fcast_TO!O30</f>
        <v>1</v>
      </c>
      <c r="P30" s="94">
        <f>CFS_Hist_TO!P30+CFS_Fcast_TO!P30</f>
        <v>1</v>
      </c>
      <c r="Q30" s="94">
        <f>CFS_Hist_TO!Q30+CFS_Fcast_TO!Q30</f>
        <v>1</v>
      </c>
    </row>
    <row r="31" spans="3:17" s="15" customFormat="1">
      <c r="D31" s="136" t="str">
        <f>"Net "&amp;C18</f>
        <v>Net Cash Flow from Operating Activities</v>
      </c>
      <c r="J31" s="140">
        <f>J22+J26+SUM(J27:J30)</f>
        <v>55.989726027397268</v>
      </c>
      <c r="K31" s="140">
        <f t="shared" ref="K31:Q31" si="10">K22+K26+SUM(K27:K30)</f>
        <v>45.405993150684914</v>
      </c>
      <c r="L31" s="140">
        <f t="shared" si="10"/>
        <v>46.604506231753874</v>
      </c>
      <c r="M31" s="140">
        <f t="shared" ca="1" si="10"/>
        <v>47.813355176636556</v>
      </c>
      <c r="N31" s="140">
        <f t="shared" ca="1" si="10"/>
        <v>48.909714514661815</v>
      </c>
      <c r="O31" s="140">
        <f t="shared" ca="1" si="10"/>
        <v>50.079644877528366</v>
      </c>
      <c r="P31" s="140">
        <f t="shared" ca="1" si="10"/>
        <v>51.45132906599494</v>
      </c>
      <c r="Q31" s="140">
        <f t="shared" ca="1" si="10"/>
        <v>52.785672114174844</v>
      </c>
    </row>
    <row r="32" spans="3:17" s="15" customFormat="1">
      <c r="J32" s="94"/>
      <c r="K32" s="94"/>
      <c r="L32" s="94"/>
      <c r="M32" s="94"/>
      <c r="N32" s="94"/>
      <c r="O32" s="94"/>
      <c r="P32" s="94"/>
      <c r="Q32" s="94"/>
    </row>
    <row r="33" spans="3:17" s="15" customFormat="1" ht="11.25">
      <c r="C33" s="93" t="s">
        <v>16</v>
      </c>
      <c r="J33" s="94"/>
      <c r="K33" s="94"/>
      <c r="L33" s="94"/>
      <c r="M33" s="94"/>
      <c r="N33" s="94"/>
      <c r="O33" s="94"/>
      <c r="P33" s="94"/>
      <c r="Q33" s="94"/>
    </row>
    <row r="34" spans="3:17" s="15" customFormat="1">
      <c r="J34" s="94"/>
      <c r="K34" s="94"/>
      <c r="L34" s="94"/>
      <c r="M34" s="94"/>
      <c r="N34" s="94"/>
      <c r="O34" s="94"/>
      <c r="P34" s="94"/>
      <c r="Q34" s="94"/>
    </row>
    <row r="35" spans="3:17" s="15" customFormat="1">
      <c r="D35" s="5" t="str">
        <f>Fcast_OP_TO!C21</f>
        <v>Capital Expenditure - Assets</v>
      </c>
      <c r="J35" s="94">
        <f>CFS_Hist_TO!J35+CFS_Fcast_TO!J35</f>
        <v>-15</v>
      </c>
      <c r="K35" s="94">
        <f>CFS_Hist_TO!K35+CFS_Fcast_TO!K35</f>
        <v>-15.374999999999998</v>
      </c>
      <c r="L35" s="94">
        <f>CFS_Hist_TO!L35+CFS_Fcast_TO!L35</f>
        <v>-15.759374999999997</v>
      </c>
      <c r="M35" s="94">
        <f>CFS_Hist_TO!M35+CFS_Fcast_TO!M35</f>
        <v>-16.153359374999994</v>
      </c>
      <c r="N35" s="94">
        <f>CFS_Hist_TO!N35+CFS_Fcast_TO!N35</f>
        <v>-16.557193359374992</v>
      </c>
      <c r="O35" s="94">
        <f>CFS_Hist_TO!O35+CFS_Fcast_TO!O35</f>
        <v>-16.971123193359364</v>
      </c>
      <c r="P35" s="94">
        <f>CFS_Hist_TO!P35+CFS_Fcast_TO!P35</f>
        <v>-17.395401273193347</v>
      </c>
      <c r="Q35" s="94">
        <f>CFS_Hist_TO!Q35+CFS_Fcast_TO!Q35</f>
        <v>-17.830286305023179</v>
      </c>
    </row>
    <row r="36" spans="3:17" s="15" customFormat="1">
      <c r="D36" s="5" t="str">
        <f>Fcast_OP_TO!C22</f>
        <v>Capital Expenditure - Intangibles</v>
      </c>
      <c r="J36" s="94">
        <f>CFS_Hist_TO!J36+CFS_Fcast_TO!J36</f>
        <v>-2.5</v>
      </c>
      <c r="K36" s="94">
        <f>CFS_Hist_TO!K36+CFS_Fcast_TO!K36</f>
        <v>-2.5625</v>
      </c>
      <c r="L36" s="94">
        <f>CFS_Hist_TO!L36+CFS_Fcast_TO!L36</f>
        <v>-2.6265624999999999</v>
      </c>
      <c r="M36" s="94">
        <f>CFS_Hist_TO!M36+CFS_Fcast_TO!M36</f>
        <v>-2.6922265624999997</v>
      </c>
      <c r="N36" s="94">
        <f>CFS_Hist_TO!N36+CFS_Fcast_TO!N36</f>
        <v>-2.7595322265624995</v>
      </c>
      <c r="O36" s="94">
        <f>CFS_Hist_TO!O36+CFS_Fcast_TO!O36</f>
        <v>-2.8285205322265616</v>
      </c>
      <c r="P36" s="94">
        <f>CFS_Hist_TO!P36+CFS_Fcast_TO!P36</f>
        <v>-2.8992335455322253</v>
      </c>
      <c r="Q36" s="94">
        <f>CFS_Hist_TO!Q36+CFS_Fcast_TO!Q36</f>
        <v>-2.9717143841705309</v>
      </c>
    </row>
    <row r="37" spans="3:17" s="15" customFormat="1">
      <c r="D37" s="170" t="s">
        <v>494</v>
      </c>
      <c r="J37" s="94">
        <f>CFS_Hist_TO!J37+CFS_Fcast_TO!J37</f>
        <v>-1</v>
      </c>
      <c r="K37" s="94">
        <f>CFS_Hist_TO!K37+CFS_Fcast_TO!K37</f>
        <v>-1</v>
      </c>
      <c r="L37" s="94">
        <f>CFS_Hist_TO!L37+CFS_Fcast_TO!L37</f>
        <v>-1</v>
      </c>
      <c r="M37" s="94">
        <f ca="1">CFS_Hist_TO!M37+CFS_Fcast_TO!M37</f>
        <v>-1</v>
      </c>
      <c r="N37" s="94">
        <f>CFS_Hist_TO!N37+CFS_Fcast_TO!N37</f>
        <v>-1</v>
      </c>
      <c r="O37" s="94">
        <f>CFS_Hist_TO!O37+CFS_Fcast_TO!O37</f>
        <v>-1</v>
      </c>
      <c r="P37" s="94">
        <f>CFS_Hist_TO!P37+CFS_Fcast_TO!P37</f>
        <v>-1</v>
      </c>
      <c r="Q37" s="94">
        <f>CFS_Hist_TO!Q37+CFS_Fcast_TO!Q37</f>
        <v>-1</v>
      </c>
    </row>
    <row r="38" spans="3:17" s="15" customFormat="1">
      <c r="D38" s="170" t="s">
        <v>495</v>
      </c>
      <c r="J38" s="94">
        <f>CFS_Hist_TO!J38+CFS_Fcast_TO!J38</f>
        <v>1</v>
      </c>
      <c r="K38" s="94">
        <f>CFS_Hist_TO!K38+CFS_Fcast_TO!K38</f>
        <v>1</v>
      </c>
      <c r="L38" s="94">
        <f>CFS_Hist_TO!L38+CFS_Fcast_TO!L38</f>
        <v>1</v>
      </c>
      <c r="M38" s="94">
        <f ca="1">CFS_Hist_TO!M38+CFS_Fcast_TO!M38</f>
        <v>1</v>
      </c>
      <c r="N38" s="94">
        <f>CFS_Hist_TO!N38+CFS_Fcast_TO!N38</f>
        <v>1</v>
      </c>
      <c r="O38" s="94">
        <f>CFS_Hist_TO!O38+CFS_Fcast_TO!O38</f>
        <v>1</v>
      </c>
      <c r="P38" s="94">
        <f>CFS_Hist_TO!P38+CFS_Fcast_TO!P38</f>
        <v>1</v>
      </c>
      <c r="Q38" s="94">
        <f>CFS_Hist_TO!Q38+CFS_Fcast_TO!Q38</f>
        <v>1</v>
      </c>
    </row>
    <row r="39" spans="3:17" s="15" customFormat="1">
      <c r="D39" s="136" t="str">
        <f>"Net "&amp;C33</f>
        <v>Net Cash Flow from Investing Activities</v>
      </c>
      <c r="J39" s="140">
        <f>SUM(J35:J38)</f>
        <v>-17.5</v>
      </c>
      <c r="K39" s="140">
        <f t="shared" ref="K39:Q39" si="11">SUM(K35:K38)</f>
        <v>-17.9375</v>
      </c>
      <c r="L39" s="140">
        <f t="shared" si="11"/>
        <v>-18.385937499999997</v>
      </c>
      <c r="M39" s="140">
        <f t="shared" ca="1" si="11"/>
        <v>-18.845585937499994</v>
      </c>
      <c r="N39" s="140">
        <f t="shared" si="11"/>
        <v>-19.31672558593749</v>
      </c>
      <c r="O39" s="140">
        <f t="shared" si="11"/>
        <v>-19.799643725585927</v>
      </c>
      <c r="P39" s="140">
        <f t="shared" si="11"/>
        <v>-20.294634818725573</v>
      </c>
      <c r="Q39" s="140">
        <f t="shared" si="11"/>
        <v>-20.802000689193711</v>
      </c>
    </row>
    <row r="40" spans="3:17" s="15" customFormat="1">
      <c r="J40" s="94"/>
      <c r="K40" s="94"/>
      <c r="L40" s="94"/>
      <c r="M40" s="94"/>
      <c r="N40" s="94"/>
      <c r="O40" s="94"/>
      <c r="P40" s="94"/>
      <c r="Q40" s="94"/>
    </row>
    <row r="41" spans="3:17" s="15" customFormat="1" ht="11.25">
      <c r="C41" s="93" t="s">
        <v>17</v>
      </c>
      <c r="J41" s="94"/>
      <c r="K41" s="94"/>
      <c r="L41" s="94"/>
      <c r="M41" s="94"/>
      <c r="N41" s="94"/>
      <c r="O41" s="94"/>
      <c r="P41" s="94"/>
      <c r="Q41" s="94"/>
    </row>
    <row r="42" spans="3:17" s="15" customFormat="1">
      <c r="J42" s="94"/>
      <c r="K42" s="94"/>
      <c r="L42" s="94"/>
      <c r="M42" s="94"/>
      <c r="N42" s="94"/>
      <c r="O42" s="94"/>
      <c r="P42" s="94"/>
      <c r="Q42" s="94"/>
    </row>
    <row r="43" spans="3:17" s="15" customFormat="1">
      <c r="D43" s="5" t="str">
        <f>Fcast_OP_TO!E96</f>
        <v>Debt Drawdowns</v>
      </c>
      <c r="J43" s="94">
        <f>CFS_Hist_TO!J43+CFS_Fcast_TO!J43</f>
        <v>0</v>
      </c>
      <c r="K43" s="94">
        <f>CFS_Hist_TO!K43+CFS_Fcast_TO!K43</f>
        <v>0</v>
      </c>
      <c r="L43" s="94">
        <f>CFS_Hist_TO!L43+CFS_Fcast_TO!L43</f>
        <v>0</v>
      </c>
      <c r="M43" s="94">
        <f>CFS_Hist_TO!M43+CFS_Fcast_TO!M43</f>
        <v>0</v>
      </c>
      <c r="N43" s="94">
        <f>CFS_Hist_TO!N43+CFS_Fcast_TO!N43</f>
        <v>50</v>
      </c>
      <c r="O43" s="94">
        <f>CFS_Hist_TO!O43+CFS_Fcast_TO!O43</f>
        <v>0</v>
      </c>
      <c r="P43" s="94">
        <f>CFS_Hist_TO!P43+CFS_Fcast_TO!P43</f>
        <v>0</v>
      </c>
      <c r="Q43" s="94">
        <f>CFS_Hist_TO!Q43+CFS_Fcast_TO!Q43</f>
        <v>0</v>
      </c>
    </row>
    <row r="44" spans="3:17" s="15" customFormat="1">
      <c r="D44" s="5" t="str">
        <f>Fcast_OP_TO!E97</f>
        <v>Debt Repayments</v>
      </c>
      <c r="J44" s="94">
        <f>CFS_Hist_TO!J44+CFS_Fcast_TO!J44</f>
        <v>0</v>
      </c>
      <c r="K44" s="94">
        <f>CFS_Hist_TO!K44+CFS_Fcast_TO!K44</f>
        <v>0</v>
      </c>
      <c r="L44" s="94">
        <f>CFS_Hist_TO!L44+CFS_Fcast_TO!L44</f>
        <v>0</v>
      </c>
      <c r="M44" s="94">
        <f>CFS_Hist_TO!M44+CFS_Fcast_TO!M44</f>
        <v>0</v>
      </c>
      <c r="N44" s="94">
        <f>CFS_Hist_TO!N44+CFS_Fcast_TO!N44</f>
        <v>-45</v>
      </c>
      <c r="O44" s="94">
        <f>CFS_Hist_TO!O44+CFS_Fcast_TO!O44</f>
        <v>0</v>
      </c>
      <c r="P44" s="94">
        <f>CFS_Hist_TO!P44+CFS_Fcast_TO!P44</f>
        <v>0</v>
      </c>
      <c r="Q44" s="94">
        <f>CFS_Hist_TO!Q44+CFS_Fcast_TO!Q44</f>
        <v>0</v>
      </c>
    </row>
    <row r="45" spans="3:17" s="15" customFormat="1">
      <c r="D45" s="5" t="str">
        <f>Fcast_OP_TO!E122</f>
        <v>Equity Raisings</v>
      </c>
      <c r="J45" s="94">
        <f>CFS_Hist_TO!J45+CFS_Fcast_TO!J45</f>
        <v>0</v>
      </c>
      <c r="K45" s="94">
        <f>CFS_Hist_TO!K45+CFS_Fcast_TO!K45</f>
        <v>0</v>
      </c>
      <c r="L45" s="94">
        <f>CFS_Hist_TO!L45+CFS_Fcast_TO!L45</f>
        <v>0</v>
      </c>
      <c r="M45" s="94">
        <f>CFS_Hist_TO!M45+CFS_Fcast_TO!M45</f>
        <v>0</v>
      </c>
      <c r="N45" s="94">
        <f>CFS_Hist_TO!N45+CFS_Fcast_TO!N45</f>
        <v>0</v>
      </c>
      <c r="O45" s="94">
        <f>CFS_Hist_TO!O45+CFS_Fcast_TO!O45</f>
        <v>0</v>
      </c>
      <c r="P45" s="94">
        <f>CFS_Hist_TO!P45+CFS_Fcast_TO!P45</f>
        <v>0</v>
      </c>
      <c r="Q45" s="94">
        <f>CFS_Hist_TO!Q45+CFS_Fcast_TO!Q45</f>
        <v>0</v>
      </c>
    </row>
    <row r="46" spans="3:17" s="15" customFormat="1">
      <c r="D46" s="5" t="str">
        <f>Fcast_OP_TO!E123</f>
        <v>Equity Repayments</v>
      </c>
      <c r="J46" s="94">
        <f>CFS_Hist_TO!J46+CFS_Fcast_TO!J46</f>
        <v>0</v>
      </c>
      <c r="K46" s="94">
        <f>CFS_Hist_TO!K46+CFS_Fcast_TO!K46</f>
        <v>0</v>
      </c>
      <c r="L46" s="94">
        <f>CFS_Hist_TO!L46+CFS_Fcast_TO!L46</f>
        <v>0</v>
      </c>
      <c r="M46" s="94">
        <f>CFS_Hist_TO!M46+CFS_Fcast_TO!M46</f>
        <v>0</v>
      </c>
      <c r="N46" s="94">
        <f>CFS_Hist_TO!N46+CFS_Fcast_TO!N46</f>
        <v>0</v>
      </c>
      <c r="O46" s="94">
        <f>CFS_Hist_TO!O46+CFS_Fcast_TO!O46</f>
        <v>0</v>
      </c>
      <c r="P46" s="94">
        <f>CFS_Hist_TO!P46+CFS_Fcast_TO!P46</f>
        <v>0</v>
      </c>
      <c r="Q46" s="94">
        <f>CFS_Hist_TO!Q46+CFS_Fcast_TO!Q46</f>
        <v>0</v>
      </c>
    </row>
    <row r="47" spans="3:17" s="15" customFormat="1">
      <c r="D47" s="5" t="str">
        <f>Fcast_OP_TO!E130</f>
        <v>Dividends Paid During Period</v>
      </c>
      <c r="J47" s="94">
        <f>CFS_Hist_TO!J47+CFS_Fcast_TO!J47</f>
        <v>-14.918749999999999</v>
      </c>
      <c r="K47" s="94">
        <f>CFS_Hist_TO!K47+CFS_Fcast_TO!K47</f>
        <v>-15.32015625</v>
      </c>
      <c r="L47" s="94">
        <f>CFS_Hist_TO!L47+CFS_Fcast_TO!L47</f>
        <v>-15.731597656250003</v>
      </c>
      <c r="M47" s="94">
        <f ca="1">CFS_Hist_TO!M47+CFS_Fcast_TO!M47</f>
        <v>-16.153325097656253</v>
      </c>
      <c r="N47" s="94">
        <f ca="1">CFS_Hist_TO!N47+CFS_Fcast_TO!N47</f>
        <v>-16.528720725097664</v>
      </c>
      <c r="O47" s="94">
        <f ca="1">CFS_Hist_TO!O47+CFS_Fcast_TO!O47</f>
        <v>-16.914923118225101</v>
      </c>
      <c r="P47" s="94">
        <f ca="1">CFS_Hist_TO!P47+CFS_Fcast_TO!P47</f>
        <v>-17.369077446180725</v>
      </c>
      <c r="Q47" s="94">
        <f ca="1">CFS_Hist_TO!Q47+CFS_Fcast_TO!Q47</f>
        <v>-17.834585632335237</v>
      </c>
    </row>
    <row r="48" spans="3:17" s="15" customFormat="1">
      <c r="D48" s="170" t="s">
        <v>558</v>
      </c>
      <c r="J48" s="94">
        <f>CFS_Hist_TO!J48+CFS_Fcast_TO!J48</f>
        <v>0.1</v>
      </c>
      <c r="K48" s="94">
        <f>CFS_Hist_TO!K48+CFS_Fcast_TO!K48</f>
        <v>0.1</v>
      </c>
      <c r="L48" s="94">
        <f>CFS_Hist_TO!L48+CFS_Fcast_TO!L48</f>
        <v>0.1</v>
      </c>
      <c r="M48" s="94">
        <f ca="1">CFS_Hist_TO!M48+CFS_Fcast_TO!M48</f>
        <v>0.39999999999999858</v>
      </c>
      <c r="N48" s="94">
        <f>CFS_Hist_TO!N48+CFS_Fcast_TO!N48</f>
        <v>9.9999999999999645E-2</v>
      </c>
      <c r="O48" s="94">
        <f>CFS_Hist_TO!O48+CFS_Fcast_TO!O48</f>
        <v>9.9999999999999645E-2</v>
      </c>
      <c r="P48" s="94">
        <f>CFS_Hist_TO!P48+CFS_Fcast_TO!P48</f>
        <v>9.9999999999999645E-2</v>
      </c>
      <c r="Q48" s="94">
        <f>CFS_Hist_TO!Q48+CFS_Fcast_TO!Q48</f>
        <v>9.9999999999999645E-2</v>
      </c>
    </row>
    <row r="49" spans="3:17" s="15" customFormat="1">
      <c r="D49" s="136" t="str">
        <f>"Net "&amp;C41</f>
        <v>Net Cash Flow from Financing Activities</v>
      </c>
      <c r="J49" s="140">
        <f>SUM(J43:J48)</f>
        <v>-14.81875</v>
      </c>
      <c r="K49" s="140">
        <f t="shared" ref="K49:Q49" si="12">SUM(K43:K48)</f>
        <v>-15.22015625</v>
      </c>
      <c r="L49" s="140">
        <f t="shared" si="12"/>
        <v>-15.631597656250003</v>
      </c>
      <c r="M49" s="140">
        <f t="shared" ca="1" si="12"/>
        <v>-15.753325097656255</v>
      </c>
      <c r="N49" s="140">
        <f t="shared" ca="1" si="12"/>
        <v>-11.428720725097664</v>
      </c>
      <c r="O49" s="140">
        <f t="shared" ca="1" si="12"/>
        <v>-16.814923118225103</v>
      </c>
      <c r="P49" s="140">
        <f t="shared" ca="1" si="12"/>
        <v>-17.269077446180724</v>
      </c>
      <c r="Q49" s="140">
        <f t="shared" ca="1" si="12"/>
        <v>-17.734585632335239</v>
      </c>
    </row>
    <row r="50" spans="3:17" s="15" customFormat="1">
      <c r="J50" s="94"/>
      <c r="K50" s="94"/>
      <c r="L50" s="94"/>
      <c r="M50" s="94"/>
      <c r="N50" s="94"/>
      <c r="O50" s="94"/>
      <c r="P50" s="94"/>
      <c r="Q50" s="94"/>
    </row>
    <row r="51" spans="3:17" s="15" customFormat="1" ht="12" thickBot="1">
      <c r="C51" s="93" t="s">
        <v>18</v>
      </c>
      <c r="J51" s="139">
        <f t="shared" ref="J51:Q51" si="13">J31+J39+J49</f>
        <v>23.670976027397266</v>
      </c>
      <c r="K51" s="139">
        <f t="shared" si="13"/>
        <v>12.248336900684913</v>
      </c>
      <c r="L51" s="139">
        <f t="shared" si="13"/>
        <v>12.586971075503874</v>
      </c>
      <c r="M51" s="139">
        <f t="shared" ca="1" si="13"/>
        <v>13.214444141480307</v>
      </c>
      <c r="N51" s="139">
        <f t="shared" ca="1" si="13"/>
        <v>18.164268203626662</v>
      </c>
      <c r="O51" s="139">
        <f t="shared" ca="1" si="13"/>
        <v>13.465078033717337</v>
      </c>
      <c r="P51" s="139">
        <f t="shared" ca="1" si="13"/>
        <v>13.887616801088644</v>
      </c>
      <c r="Q51" s="139">
        <f t="shared" ca="1" si="13"/>
        <v>14.249085792645893</v>
      </c>
    </row>
    <row r="52" spans="3:17" s="15" customFormat="1" ht="11.25" thickTop="1"/>
    <row r="53" spans="3:17" s="15" customFormat="1" hidden="1" outlineLevel="2">
      <c r="D53" s="170" t="s">
        <v>24</v>
      </c>
      <c r="J53" s="141">
        <f t="shared" ref="J53:Q53" si="14">IF(ISERROR(J31+J39+J49-J51),1,0)</f>
        <v>0</v>
      </c>
      <c r="K53" s="141">
        <f t="shared" si="14"/>
        <v>0</v>
      </c>
      <c r="L53" s="141">
        <f t="shared" si="14"/>
        <v>0</v>
      </c>
      <c r="M53" s="141">
        <f t="shared" ca="1" si="14"/>
        <v>0</v>
      </c>
      <c r="N53" s="141">
        <f t="shared" ca="1" si="14"/>
        <v>0</v>
      </c>
      <c r="O53" s="141">
        <f t="shared" ca="1" si="14"/>
        <v>0</v>
      </c>
      <c r="P53" s="141">
        <f t="shared" ca="1" si="14"/>
        <v>0</v>
      </c>
      <c r="Q53" s="141">
        <f t="shared" ca="1" si="14"/>
        <v>0</v>
      </c>
    </row>
    <row r="54" spans="3:17" s="15" customFormat="1" hidden="1" outlineLevel="2">
      <c r="D54" s="170" t="s">
        <v>25</v>
      </c>
      <c r="J54" s="124">
        <f t="shared" ref="J54:Q54" si="15">IF(J53&lt;&gt;0,0,IF(ROUND(J31+J39+J49-J51,5)&lt;&gt;0,1,0))</f>
        <v>0</v>
      </c>
      <c r="K54" s="124">
        <f t="shared" si="15"/>
        <v>0</v>
      </c>
      <c r="L54" s="124">
        <f t="shared" si="15"/>
        <v>0</v>
      </c>
      <c r="M54" s="124">
        <f t="shared" ca="1" si="15"/>
        <v>0</v>
      </c>
      <c r="N54" s="124">
        <f t="shared" ca="1" si="15"/>
        <v>0</v>
      </c>
      <c r="O54" s="124">
        <f t="shared" ca="1" si="15"/>
        <v>0</v>
      </c>
      <c r="P54" s="124">
        <f t="shared" ca="1" si="15"/>
        <v>0</v>
      </c>
      <c r="Q54" s="124">
        <f t="shared" ca="1" si="15"/>
        <v>0</v>
      </c>
    </row>
    <row r="55" spans="3:17" s="15" customFormat="1" collapsed="1">
      <c r="C55" s="170" t="s">
        <v>410</v>
      </c>
      <c r="I55" s="98">
        <f ca="1">IF(ISERROR(SUM(J55:Q55)),0,MIN(SUM(J55:Q55),1))</f>
        <v>0</v>
      </c>
      <c r="J55" s="95">
        <f t="shared" ref="J55:Q55" si="16">MIN(SUM(J53:J54),1)</f>
        <v>0</v>
      </c>
      <c r="K55" s="95">
        <f t="shared" si="16"/>
        <v>0</v>
      </c>
      <c r="L55" s="95">
        <f t="shared" si="16"/>
        <v>0</v>
      </c>
      <c r="M55" s="95">
        <f t="shared" ca="1" si="16"/>
        <v>0</v>
      </c>
      <c r="N55" s="95">
        <f t="shared" ca="1" si="16"/>
        <v>0</v>
      </c>
      <c r="O55" s="95">
        <f t="shared" ca="1" si="16"/>
        <v>0</v>
      </c>
      <c r="P55" s="95">
        <f t="shared" ca="1" si="16"/>
        <v>0</v>
      </c>
      <c r="Q55" s="95">
        <f t="shared" ca="1" si="16"/>
        <v>0</v>
      </c>
    </row>
    <row r="56" spans="3:17" s="15" customFormat="1"/>
    <row r="57" spans="3:17" s="15" customFormat="1">
      <c r="C57" s="171" t="s">
        <v>203</v>
      </c>
    </row>
    <row r="58" spans="3:17" s="15" customFormat="1">
      <c r="C58" s="138">
        <v>1</v>
      </c>
      <c r="D58" s="116" t="str">
        <f>"All values are stated in "&amp;INDEX(LU_Denom,DD_TS_Denom)&amp;" unless stated otherwise."</f>
        <v>All values are stated in $Millions unless stated otherwise.</v>
      </c>
    </row>
  </sheetData>
  <mergeCells count="1">
    <mergeCell ref="B3:F3"/>
  </mergeCells>
  <conditionalFormatting sqref="I55 J53:Q55">
    <cfRule type="cellIs" dxfId="44" priority="2" stopIfTrue="1" operator="notEqual">
      <formula>0</formula>
    </cfRule>
  </conditionalFormatting>
  <conditionalFormatting sqref="C55">
    <cfRule type="expression" dxfId="43" priority="1" stopIfTrue="1">
      <formula>I55&lt;&gt;0</formula>
    </cfRule>
  </conditionalFormatting>
  <hyperlinks>
    <hyperlink ref="B3" location="HL_Home" tooltip="Go to Table of Contents" display="HL_Home"/>
    <hyperlink ref="A4" location="$B$14" tooltip="Go to Top of Sheet" display="$B$14"/>
    <hyperlink ref="B4" location="HL_Sheet_Main_32" tooltip="Go to Previous Sheet" display="HL_Sheet_Main_32"/>
    <hyperlink ref="C4" location="HL_Sheet_Main_20" tooltip="Go to Next Sheet" display="HL_Sheet_Main_2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rowBreaks count="1" manualBreakCount="1">
    <brk id="54" min="1" max="16" man="1"/>
  </rowBreaks>
  <legacyDrawing r:id="rId2"/>
</worksheet>
</file>

<file path=xl/worksheets/sheet31.xml><?xml version="1.0" encoding="utf-8"?>
<worksheet xmlns="http://schemas.openxmlformats.org/spreadsheetml/2006/main" xmlns:r="http://schemas.openxmlformats.org/officeDocument/2006/relationships">
  <sheetPr codeName="Sheet29">
    <pageSetUpPr autoPageBreaks="0" fitToPage="1"/>
  </sheetPr>
  <dimension ref="C9:G20"/>
  <sheetViews>
    <sheetView showGridLines="0" zoomScaleNormal="100" workbookViewId="0"/>
  </sheetViews>
  <sheetFormatPr defaultColWidth="11.83203125" defaultRowHeight="10.5"/>
  <cols>
    <col min="3" max="6" width="3.83203125" customWidth="1"/>
  </cols>
  <sheetData>
    <row r="9" spans="3:7" ht="18">
      <c r="C9" s="1" t="s">
        <v>427</v>
      </c>
    </row>
    <row r="10" spans="3:7" ht="16.5">
      <c r="C10" s="27" t="s">
        <v>546</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498</v>
      </c>
    </row>
    <row r="18" spans="3:3">
      <c r="C18" s="177" t="s">
        <v>428</v>
      </c>
    </row>
    <row r="19" spans="3:3">
      <c r="C19" s="177"/>
    </row>
    <row r="20" spans="3:3">
      <c r="C20" s="177"/>
    </row>
  </sheetData>
  <mergeCells count="1">
    <mergeCell ref="C12:G12"/>
  </mergeCells>
  <hyperlinks>
    <hyperlink ref="C12" location="HL_Home" tooltip="Go to Table of Contents" display="HL_Home"/>
    <hyperlink ref="C13" location="HL_Sheet_Main_33" tooltip="Go to Previous Sheet" display="HL_Sheet_Main_33"/>
    <hyperlink ref="D13" location="HL_Sheet_Main_19" tooltip="Go to Next Sheet" display="HL_Sheet_Main_19"/>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xl/worksheets/sheet32.xml><?xml version="1.0" encoding="utf-8"?>
<worksheet xmlns="http://schemas.openxmlformats.org/spreadsheetml/2006/main" xmlns:r="http://schemas.openxmlformats.org/officeDocument/2006/relationships">
  <sheetPr codeName="Sheet30">
    <pageSetUpPr autoPageBreaks="0" fitToPage="1"/>
  </sheetPr>
  <dimension ref="A1:BE74"/>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2.33203125" defaultRowHeight="10.5"/>
  <cols>
    <col min="1" max="1" width="3.83203125" style="28" customWidth="1"/>
    <col min="2" max="11" width="2.5" style="28" customWidth="1"/>
    <col min="12" max="19" width="11.83203125" style="28" customWidth="1"/>
    <col min="20" max="21" width="2.33203125" style="28"/>
    <col min="22" max="31" width="2.5" style="28" customWidth="1"/>
    <col min="32" max="39" width="11.83203125" style="28" customWidth="1"/>
    <col min="40" max="41" width="2.33203125" style="28"/>
    <col min="42" max="45" width="3.83203125" style="28" customWidth="1"/>
    <col min="46" max="57" width="11.83203125" style="28" customWidth="1"/>
    <col min="58" max="16384" width="2.33203125" style="28"/>
  </cols>
  <sheetData>
    <row r="1" spans="1:57" ht="18">
      <c r="B1" s="30" t="s">
        <v>432</v>
      </c>
    </row>
    <row r="2" spans="1:57" ht="15">
      <c r="B2" s="29" t="str">
        <f ca="1">Model_Name</f>
        <v>SMA 5. Assumption Entry Interfaces - Best Practice Model Example</v>
      </c>
    </row>
    <row r="3" spans="1:57">
      <c r="B3" s="326" t="s">
        <v>48</v>
      </c>
      <c r="C3" s="326"/>
      <c r="D3" s="326"/>
      <c r="E3" s="326"/>
      <c r="F3" s="326"/>
      <c r="G3" s="326"/>
      <c r="H3" s="326"/>
      <c r="I3" s="326"/>
      <c r="J3" s="326"/>
      <c r="K3" s="326"/>
      <c r="L3" s="111"/>
    </row>
    <row r="4" spans="1:57" ht="12.75">
      <c r="A4" s="31" t="s">
        <v>51</v>
      </c>
      <c r="B4" s="332" t="s">
        <v>53</v>
      </c>
      <c r="C4" s="332"/>
      <c r="D4" s="333" t="s">
        <v>102</v>
      </c>
      <c r="E4" s="333"/>
      <c r="F4" s="334" t="s">
        <v>205</v>
      </c>
      <c r="G4" s="334"/>
      <c r="H4" s="334" t="s">
        <v>206</v>
      </c>
      <c r="I4" s="334"/>
      <c r="J4" s="334" t="s">
        <v>207</v>
      </c>
      <c r="K4" s="334"/>
    </row>
    <row r="7" spans="1:57" ht="11.25">
      <c r="B7" s="323" t="s">
        <v>47</v>
      </c>
      <c r="C7" s="324"/>
      <c r="D7" s="324"/>
      <c r="E7" s="324"/>
      <c r="F7" s="324"/>
      <c r="G7" s="324"/>
      <c r="H7" s="324"/>
      <c r="I7" s="324"/>
      <c r="J7" s="324"/>
      <c r="K7" s="324"/>
      <c r="L7" s="324"/>
      <c r="M7" s="324"/>
      <c r="N7" s="324"/>
      <c r="O7" s="324"/>
      <c r="P7" s="324"/>
      <c r="Q7" s="324"/>
      <c r="R7" s="324"/>
      <c r="S7" s="325"/>
      <c r="V7" s="322" t="s">
        <v>429</v>
      </c>
      <c r="W7" s="322"/>
      <c r="X7" s="322"/>
      <c r="Y7" s="322"/>
      <c r="Z7" s="322"/>
      <c r="AA7" s="322"/>
      <c r="AB7" s="322"/>
      <c r="AC7" s="322"/>
      <c r="AD7" s="322"/>
      <c r="AE7" s="322"/>
      <c r="AF7" s="322"/>
      <c r="AG7" s="322"/>
      <c r="AH7" s="322"/>
      <c r="AI7" s="322"/>
      <c r="AJ7" s="322"/>
      <c r="AK7" s="322"/>
      <c r="AL7" s="322"/>
      <c r="AM7" s="322"/>
      <c r="AP7" s="158" t="str">
        <f>IF(TS_Periodicity=Annual,IS_All_TO!$B$7,IS_All_TO!$B$6)</f>
        <v>Year Ending 31 December</v>
      </c>
      <c r="AQ7" s="157"/>
      <c r="AR7" s="17"/>
      <c r="AS7" s="17"/>
      <c r="AT7" s="17"/>
      <c r="AU7" s="17"/>
      <c r="AV7" s="17"/>
      <c r="AW7" s="17"/>
      <c r="AX7" s="160" t="str">
        <f>IF(TS_Periodicity=Annual,IS_All_TO!J$7,IS_All_TO!J$6)</f>
        <v xml:space="preserve">2010 (A) </v>
      </c>
      <c r="AY7" s="160" t="str">
        <f>IF(TS_Periodicity=Annual,IS_All_TO!K$7,IS_All_TO!K$6)</f>
        <v xml:space="preserve">2011 (A) </v>
      </c>
      <c r="AZ7" s="160" t="str">
        <f>IF(TS_Periodicity=Annual,IS_All_TO!L$7,IS_All_TO!L$6)</f>
        <v xml:space="preserve">2012 (A) </v>
      </c>
      <c r="BA7" s="160" t="str">
        <f>IF(TS_Periodicity=Annual,IS_All_TO!M$7,IS_All_TO!M$6)</f>
        <v xml:space="preserve">2013 (F) </v>
      </c>
      <c r="BB7" s="160" t="str">
        <f>IF(TS_Periodicity=Annual,IS_All_TO!N$7,IS_All_TO!N$6)</f>
        <v xml:space="preserve">2014 (F) </v>
      </c>
      <c r="BC7" s="160" t="str">
        <f>IF(TS_Periodicity=Annual,IS_All_TO!O$7,IS_All_TO!O$6)</f>
        <v xml:space="preserve">2015 (F) </v>
      </c>
      <c r="BD7" s="160" t="str">
        <f>IF(TS_Periodicity=Annual,IS_All_TO!P$7,IS_All_TO!P$6)</f>
        <v xml:space="preserve">2016 (F) </v>
      </c>
      <c r="BE7" s="160" t="str">
        <f>IF(TS_Periodicity=Annual,IS_All_TO!Q$7,IS_All_TO!Q$6)</f>
        <v xml:space="preserve">2017 (F) </v>
      </c>
    </row>
    <row r="8" spans="1:57">
      <c r="B8" s="148"/>
      <c r="C8" s="148"/>
      <c r="D8" s="148"/>
      <c r="E8" s="148"/>
      <c r="F8" s="148"/>
      <c r="G8" s="148"/>
      <c r="H8" s="148"/>
      <c r="I8" s="148"/>
      <c r="J8" s="148"/>
      <c r="K8" s="148"/>
      <c r="L8" s="148"/>
      <c r="M8" s="148"/>
      <c r="N8" s="148"/>
      <c r="O8" s="148"/>
      <c r="P8" s="148"/>
      <c r="Q8" s="148"/>
      <c r="R8" s="148"/>
      <c r="S8" s="148"/>
      <c r="V8" s="166"/>
      <c r="W8" s="166"/>
      <c r="X8" s="166"/>
      <c r="Y8" s="166"/>
      <c r="Z8" s="166"/>
      <c r="AA8" s="166"/>
      <c r="AB8" s="166"/>
      <c r="AC8" s="166"/>
      <c r="AD8" s="166"/>
      <c r="AE8" s="166"/>
      <c r="AF8" s="166"/>
      <c r="AG8" s="166"/>
      <c r="AH8" s="166"/>
      <c r="AI8" s="166"/>
      <c r="AJ8" s="166"/>
      <c r="AK8" s="166"/>
      <c r="AL8" s="166"/>
      <c r="AM8" s="166"/>
    </row>
    <row r="9" spans="1:57">
      <c r="B9" s="149" t="str">
        <f>IF(TS_Periodicity=Annual,IS_All_TO!$B$7,IS_All_TO!$B$6)</f>
        <v>Year Ending 31 December</v>
      </c>
      <c r="C9" s="148"/>
      <c r="D9" s="148"/>
      <c r="E9" s="148"/>
      <c r="F9" s="148"/>
      <c r="G9" s="148"/>
      <c r="H9" s="148"/>
      <c r="I9" s="148"/>
      <c r="J9" s="148"/>
      <c r="K9" s="148"/>
      <c r="L9" s="148"/>
      <c r="M9" s="148"/>
      <c r="N9" s="150" t="str">
        <f>IF(TS_Periodicity=Annual,IS_All_TO!J$7,IS_All_TO!J$6)</f>
        <v xml:space="preserve">2010 (A) </v>
      </c>
      <c r="O9" s="150" t="str">
        <f>IF(TS_Periodicity=Annual,IS_All_TO!K$7,IS_All_TO!K$6)</f>
        <v xml:space="preserve">2011 (A) </v>
      </c>
      <c r="P9" s="150" t="str">
        <f>IF(TS_Periodicity=Annual,IS_All_TO!L$7,IS_All_TO!L$6)</f>
        <v xml:space="preserve">2012 (A) </v>
      </c>
      <c r="Q9" s="150" t="str">
        <f>IF(TS_Periodicity=Annual,IS_All_TO!M$7,IS_All_TO!M$6)</f>
        <v xml:space="preserve">2013 (F) </v>
      </c>
      <c r="R9" s="150" t="str">
        <f>IF(TS_Periodicity=Annual,IS_All_TO!N$7,IS_All_TO!N$6)</f>
        <v xml:space="preserve">2014 (F) </v>
      </c>
      <c r="S9" s="150" t="str">
        <f>IF(TS_Periodicity=Annual,IS_All_TO!O$7,IS_All_TO!O$6)</f>
        <v xml:space="preserve">2015 (F) </v>
      </c>
      <c r="V9" s="166"/>
      <c r="W9" s="166"/>
      <c r="X9" s="166"/>
      <c r="Y9" s="166"/>
      <c r="Z9" s="166"/>
      <c r="AA9" s="166"/>
      <c r="AB9" s="166"/>
      <c r="AC9" s="166"/>
      <c r="AD9" s="166"/>
      <c r="AE9" s="166"/>
      <c r="AF9" s="166"/>
      <c r="AG9" s="166"/>
      <c r="AH9" s="166"/>
      <c r="AI9" s="166"/>
      <c r="AJ9" s="166"/>
      <c r="AK9" s="166"/>
      <c r="AL9" s="166"/>
      <c r="AM9" s="166"/>
      <c r="AP9" s="171" t="s">
        <v>441</v>
      </c>
    </row>
    <row r="10" spans="1:57">
      <c r="B10" s="148"/>
      <c r="C10" s="148"/>
      <c r="D10" s="148"/>
      <c r="E10" s="148"/>
      <c r="F10" s="148"/>
      <c r="G10" s="148"/>
      <c r="H10" s="148"/>
      <c r="I10" s="148"/>
      <c r="J10" s="148"/>
      <c r="K10" s="148"/>
      <c r="L10" s="148"/>
      <c r="M10" s="148"/>
      <c r="N10" s="148"/>
      <c r="O10" s="148"/>
      <c r="P10" s="148"/>
      <c r="Q10" s="148"/>
      <c r="R10" s="148"/>
      <c r="S10" s="148"/>
      <c r="V10" s="166"/>
      <c r="W10" s="166"/>
      <c r="X10" s="166"/>
      <c r="Y10" s="166"/>
      <c r="Z10" s="166"/>
      <c r="AA10" s="166"/>
      <c r="AB10" s="166"/>
      <c r="AC10" s="166"/>
      <c r="AD10" s="166"/>
      <c r="AE10" s="166"/>
      <c r="AF10" s="166"/>
      <c r="AG10" s="166"/>
      <c r="AH10" s="166"/>
      <c r="AI10" s="166"/>
      <c r="AJ10" s="166"/>
      <c r="AK10" s="166"/>
      <c r="AL10" s="166"/>
      <c r="AM10" s="166"/>
    </row>
    <row r="11" spans="1:57">
      <c r="B11" s="151" t="str">
        <f>IS_All_TO!D18</f>
        <v>Revenue</v>
      </c>
      <c r="C11" s="148"/>
      <c r="D11" s="148"/>
      <c r="E11" s="148"/>
      <c r="F11" s="148"/>
      <c r="G11" s="148"/>
      <c r="H11" s="148"/>
      <c r="I11" s="148"/>
      <c r="J11" s="148"/>
      <c r="K11" s="148"/>
      <c r="L11" s="148"/>
      <c r="M11" s="148"/>
      <c r="N11" s="152">
        <f>IS_All_TO!J18</f>
        <v>125</v>
      </c>
      <c r="O11" s="152">
        <f>IS_All_TO!K18</f>
        <v>128.125</v>
      </c>
      <c r="P11" s="152">
        <f>IS_All_TO!L18</f>
        <v>131.328125</v>
      </c>
      <c r="Q11" s="152">
        <f>IS_All_TO!M18</f>
        <v>134.611328125</v>
      </c>
      <c r="R11" s="152">
        <f>IS_All_TO!N18</f>
        <v>137.97661132812499</v>
      </c>
      <c r="S11" s="152">
        <f>IS_All_TO!O18</f>
        <v>141.4260266113281</v>
      </c>
      <c r="V11" s="166"/>
      <c r="W11" s="166"/>
      <c r="X11" s="166"/>
      <c r="Y11" s="166"/>
      <c r="Z11" s="166"/>
      <c r="AA11" s="166"/>
      <c r="AB11" s="166"/>
      <c r="AC11" s="166"/>
      <c r="AD11" s="166"/>
      <c r="AE11" s="166"/>
      <c r="AF11" s="166"/>
      <c r="AG11" s="166"/>
      <c r="AH11" s="166"/>
      <c r="AI11" s="166"/>
      <c r="AJ11" s="166"/>
      <c r="AK11" s="166"/>
      <c r="AL11" s="166"/>
      <c r="AM11" s="166"/>
      <c r="AQ11" s="171" t="s">
        <v>348</v>
      </c>
      <c r="AU11" s="5" t="str">
        <f>Fcast_OP_TO!C18</f>
        <v>Revenue</v>
      </c>
    </row>
    <row r="12" spans="1:57">
      <c r="B12" s="178" t="str">
        <f>IS_All_TO!D19</f>
        <v>Cost of Goods Sold</v>
      </c>
      <c r="N12" s="152">
        <f>IS_All_TO!J19</f>
        <v>-25</v>
      </c>
      <c r="O12" s="152">
        <f>IS_All_TO!K19</f>
        <v>-25.624999999999996</v>
      </c>
      <c r="P12" s="152">
        <f>IS_All_TO!L19</f>
        <v>-26.265624999999993</v>
      </c>
      <c r="Q12" s="152">
        <f>IS_All_TO!M19</f>
        <v>-26.922265624999991</v>
      </c>
      <c r="R12" s="152">
        <f>IS_All_TO!N19</f>
        <v>-27.59532226562499</v>
      </c>
      <c r="S12" s="152">
        <f>IS_All_TO!O19</f>
        <v>-28.285205322265611</v>
      </c>
      <c r="V12" s="166"/>
      <c r="W12" s="166"/>
      <c r="X12" s="166"/>
      <c r="Y12" s="166"/>
      <c r="Z12" s="166"/>
      <c r="AA12" s="166"/>
      <c r="AB12" s="166"/>
      <c r="AC12" s="166"/>
      <c r="AD12" s="166"/>
      <c r="AE12" s="166"/>
      <c r="AF12" s="166"/>
      <c r="AG12" s="166"/>
      <c r="AH12" s="166"/>
      <c r="AI12" s="166"/>
      <c r="AJ12" s="166"/>
      <c r="AK12" s="166"/>
      <c r="AL12" s="166"/>
      <c r="AM12" s="166"/>
    </row>
    <row r="13" spans="1:57">
      <c r="B13" s="180" t="str">
        <f>IS_All_TO!C21</f>
        <v>Gross Margin</v>
      </c>
      <c r="N13" s="153">
        <f>SUM(N11:N12)</f>
        <v>100</v>
      </c>
      <c r="O13" s="153">
        <f t="shared" ref="O13:S13" si="0">SUM(O11:O12)</f>
        <v>102.5</v>
      </c>
      <c r="P13" s="153">
        <f t="shared" si="0"/>
        <v>105.0625</v>
      </c>
      <c r="Q13" s="153">
        <f t="shared" si="0"/>
        <v>107.68906250000001</v>
      </c>
      <c r="R13" s="153">
        <f t="shared" si="0"/>
        <v>110.3812890625</v>
      </c>
      <c r="S13" s="153">
        <f t="shared" si="0"/>
        <v>113.14082128906249</v>
      </c>
      <c r="V13" s="166"/>
      <c r="W13" s="166"/>
      <c r="X13" s="166"/>
      <c r="Y13" s="166"/>
      <c r="Z13" s="166"/>
      <c r="AA13" s="166"/>
      <c r="AB13" s="166"/>
      <c r="AC13" s="166"/>
      <c r="AD13" s="166"/>
      <c r="AE13" s="166"/>
      <c r="AF13" s="166"/>
      <c r="AG13" s="166"/>
      <c r="AH13" s="166"/>
      <c r="AI13" s="166"/>
      <c r="AJ13" s="166"/>
      <c r="AK13" s="166"/>
      <c r="AL13" s="166"/>
      <c r="AM13" s="166"/>
      <c r="AQ13" s="5" t="str">
        <f>AU11&amp;" (Historical)"</f>
        <v>Revenue (Historical)</v>
      </c>
      <c r="AX13" s="95">
        <f>IS_Hist_TO!J18</f>
        <v>125</v>
      </c>
      <c r="AY13" s="95">
        <f>IS_Hist_TO!K18</f>
        <v>128.125</v>
      </c>
      <c r="AZ13" s="95">
        <f>IS_Hist_TO!L18</f>
        <v>131.328125</v>
      </c>
      <c r="BA13" s="95">
        <f>IS_Hist_TO!M18</f>
        <v>0</v>
      </c>
      <c r="BB13" s="95">
        <f>IS_Hist_TO!N18</f>
        <v>0</v>
      </c>
      <c r="BC13" s="95">
        <f>IS_Hist_TO!O18</f>
        <v>0</v>
      </c>
      <c r="BD13" s="95">
        <f>IS_Hist_TO!P18</f>
        <v>0</v>
      </c>
      <c r="BE13" s="95">
        <f>IS_Hist_TO!Q18</f>
        <v>0</v>
      </c>
    </row>
    <row r="14" spans="1:57">
      <c r="B14" s="151" t="str">
        <f>IS_All_TO!D23</f>
        <v>Operating Expenditure</v>
      </c>
      <c r="C14" s="148"/>
      <c r="D14" s="148"/>
      <c r="E14" s="148"/>
      <c r="F14" s="148"/>
      <c r="G14" s="148"/>
      <c r="H14" s="148"/>
      <c r="I14" s="148"/>
      <c r="J14" s="148"/>
      <c r="K14" s="148"/>
      <c r="L14" s="148"/>
      <c r="M14" s="148"/>
      <c r="N14" s="152">
        <f>IS_All_TO!J23</f>
        <v>-40</v>
      </c>
      <c r="O14" s="152">
        <f>IS_All_TO!K23</f>
        <v>-41</v>
      </c>
      <c r="P14" s="152">
        <f>IS_All_TO!L23</f>
        <v>-42.024999999999999</v>
      </c>
      <c r="Q14" s="152">
        <f>IS_All_TO!M23</f>
        <v>-43.075624999999995</v>
      </c>
      <c r="R14" s="152">
        <f>IS_All_TO!N23</f>
        <v>-44.152515624999992</v>
      </c>
      <c r="S14" s="152">
        <f>IS_All_TO!O23</f>
        <v>-45.256328515624986</v>
      </c>
      <c r="V14" s="166"/>
      <c r="W14" s="166"/>
      <c r="X14" s="166"/>
      <c r="Y14" s="166"/>
      <c r="Z14" s="166"/>
      <c r="AA14" s="166"/>
      <c r="AB14" s="166"/>
      <c r="AC14" s="166"/>
      <c r="AD14" s="166"/>
      <c r="AE14" s="166"/>
      <c r="AF14" s="166"/>
      <c r="AG14" s="166"/>
      <c r="AH14" s="166"/>
      <c r="AI14" s="166"/>
      <c r="AJ14" s="166"/>
      <c r="AK14" s="166"/>
      <c r="AL14" s="166"/>
      <c r="AM14" s="166"/>
      <c r="AQ14" s="5" t="str">
        <f>AU11&amp;" (Forecast)"</f>
        <v>Revenue (Forecast)</v>
      </c>
      <c r="AX14" s="95">
        <f>Fcast_OP_TO!J18</f>
        <v>0</v>
      </c>
      <c r="AY14" s="95">
        <f>Fcast_OP_TO!K18</f>
        <v>0</v>
      </c>
      <c r="AZ14" s="95">
        <f>Fcast_OP_TO!L18</f>
        <v>0</v>
      </c>
      <c r="BA14" s="95">
        <f>Fcast_OP_TO!M18</f>
        <v>134.611328125</v>
      </c>
      <c r="BB14" s="95">
        <f>Fcast_OP_TO!N18</f>
        <v>137.97661132812499</v>
      </c>
      <c r="BC14" s="95">
        <f>Fcast_OP_TO!O18</f>
        <v>141.4260266113281</v>
      </c>
      <c r="BD14" s="95">
        <f>Fcast_OP_TO!P18</f>
        <v>144.96167727661128</v>
      </c>
      <c r="BE14" s="95">
        <f>Fcast_OP_TO!Q18</f>
        <v>148.58571920852654</v>
      </c>
    </row>
    <row r="15" spans="1:57">
      <c r="B15" s="179" t="str">
        <f>IS_All_TO!C25</f>
        <v>EBITDA</v>
      </c>
      <c r="C15" s="148"/>
      <c r="D15" s="148"/>
      <c r="E15" s="148"/>
      <c r="F15" s="148"/>
      <c r="G15" s="148"/>
      <c r="H15" s="148"/>
      <c r="I15" s="148"/>
      <c r="J15" s="148"/>
      <c r="K15" s="148"/>
      <c r="L15" s="148"/>
      <c r="M15" s="148"/>
      <c r="N15" s="153">
        <f>SUM(N13:N14)</f>
        <v>60</v>
      </c>
      <c r="O15" s="153">
        <f t="shared" ref="O15:S15" si="1">SUM(O13:O14)</f>
        <v>61.5</v>
      </c>
      <c r="P15" s="153">
        <f t="shared" si="1"/>
        <v>63.037500000000001</v>
      </c>
      <c r="Q15" s="153">
        <f t="shared" si="1"/>
        <v>64.613437500000003</v>
      </c>
      <c r="R15" s="153">
        <f t="shared" si="1"/>
        <v>66.22877343750001</v>
      </c>
      <c r="S15" s="153">
        <f t="shared" si="1"/>
        <v>67.884492773437501</v>
      </c>
      <c r="V15" s="166"/>
      <c r="W15" s="166"/>
      <c r="X15" s="166"/>
      <c r="Y15" s="166"/>
      <c r="Z15" s="166"/>
      <c r="AA15" s="166"/>
      <c r="AB15" s="166"/>
      <c r="AC15" s="166"/>
      <c r="AD15" s="166"/>
      <c r="AE15" s="166"/>
      <c r="AF15" s="166"/>
      <c r="AG15" s="166"/>
      <c r="AH15" s="166"/>
      <c r="AI15" s="166"/>
      <c r="AJ15" s="166"/>
      <c r="AK15" s="166"/>
      <c r="AL15" s="166"/>
      <c r="AM15" s="166"/>
    </row>
    <row r="16" spans="1:57">
      <c r="B16" s="151" t="str">
        <f>IS_All_TO!D29</f>
        <v>Depreciation &amp; Amortization</v>
      </c>
      <c r="C16" s="148"/>
      <c r="D16" s="148"/>
      <c r="E16" s="148"/>
      <c r="F16" s="148"/>
      <c r="G16" s="148"/>
      <c r="H16" s="148"/>
      <c r="I16" s="148"/>
      <c r="J16" s="148"/>
      <c r="K16" s="148"/>
      <c r="L16" s="148"/>
      <c r="M16" s="148"/>
      <c r="N16" s="152">
        <f>IS_All_TO!J29</f>
        <v>-14.125</v>
      </c>
      <c r="O16" s="152">
        <f>IS_All_TO!K29</f>
        <v>-14.478124999999999</v>
      </c>
      <c r="P16" s="152">
        <f>IS_All_TO!L29</f>
        <v>-14.840078124999996</v>
      </c>
      <c r="Q16" s="152">
        <f>IS_All_TO!M29</f>
        <v>-15.211080078124994</v>
      </c>
      <c r="R16" s="152">
        <f>IS_All_TO!N29</f>
        <v>-15.591357080078117</v>
      </c>
      <c r="S16" s="152">
        <f>IS_All_TO!O29</f>
        <v>-15.981141007080069</v>
      </c>
      <c r="V16" s="166"/>
      <c r="W16" s="166"/>
      <c r="X16" s="166"/>
      <c r="Y16" s="166"/>
      <c r="Z16" s="166"/>
      <c r="AA16" s="166"/>
      <c r="AB16" s="166"/>
      <c r="AC16" s="166"/>
      <c r="AD16" s="166"/>
      <c r="AE16" s="166"/>
      <c r="AF16" s="166"/>
      <c r="AG16" s="166"/>
      <c r="AH16" s="166"/>
      <c r="AI16" s="166"/>
      <c r="AJ16" s="166"/>
      <c r="AK16" s="166"/>
      <c r="AL16" s="166"/>
      <c r="AM16" s="166"/>
      <c r="AP16" s="171" t="s">
        <v>442</v>
      </c>
    </row>
    <row r="17" spans="2:57">
      <c r="B17" s="179" t="str">
        <f>IS_All_TO!C31</f>
        <v>EBIT</v>
      </c>
      <c r="C17" s="148"/>
      <c r="D17" s="148"/>
      <c r="E17" s="148"/>
      <c r="F17" s="148"/>
      <c r="G17" s="148"/>
      <c r="H17" s="148"/>
      <c r="I17" s="148"/>
      <c r="J17" s="148"/>
      <c r="K17" s="148"/>
      <c r="L17" s="148"/>
      <c r="M17" s="148"/>
      <c r="N17" s="153">
        <f>SUM(N15:N16)</f>
        <v>45.875</v>
      </c>
      <c r="O17" s="153">
        <f t="shared" ref="O17:S17" si="2">SUM(O15:O16)</f>
        <v>47.021875000000001</v>
      </c>
      <c r="P17" s="153">
        <f t="shared" si="2"/>
        <v>48.197421875000003</v>
      </c>
      <c r="Q17" s="153">
        <f t="shared" si="2"/>
        <v>49.40235742187501</v>
      </c>
      <c r="R17" s="153">
        <f t="shared" si="2"/>
        <v>50.637416357421891</v>
      </c>
      <c r="S17" s="153">
        <f t="shared" si="2"/>
        <v>51.903351766357432</v>
      </c>
      <c r="V17" s="166"/>
      <c r="W17" s="166"/>
      <c r="X17" s="166"/>
      <c r="Y17" s="166"/>
      <c r="Z17" s="166"/>
      <c r="AA17" s="166"/>
      <c r="AB17" s="166"/>
      <c r="AC17" s="166"/>
      <c r="AD17" s="166"/>
      <c r="AE17" s="166"/>
      <c r="AF17" s="166"/>
      <c r="AG17" s="166"/>
      <c r="AH17" s="166"/>
      <c r="AI17" s="166"/>
      <c r="AJ17" s="166"/>
      <c r="AK17" s="166"/>
      <c r="AL17" s="166"/>
      <c r="AM17" s="166"/>
    </row>
    <row r="18" spans="2:57">
      <c r="B18" s="151" t="str">
        <f>IS_All_TO!D33</f>
        <v>Interest Expense</v>
      </c>
      <c r="C18" s="148"/>
      <c r="D18" s="148"/>
      <c r="E18" s="148"/>
      <c r="F18" s="148"/>
      <c r="G18" s="148"/>
      <c r="H18" s="148"/>
      <c r="I18" s="148"/>
      <c r="J18" s="148"/>
      <c r="K18" s="148"/>
      <c r="L18" s="148"/>
      <c r="M18" s="148"/>
      <c r="N18" s="152">
        <f>IS_All_TO!J33</f>
        <v>-3.25</v>
      </c>
      <c r="O18" s="152">
        <f>IS_All_TO!K33</f>
        <v>-3.25</v>
      </c>
      <c r="P18" s="152">
        <f>IS_All_TO!L33</f>
        <v>-3.25</v>
      </c>
      <c r="Q18" s="152">
        <f ca="1">IS_All_TO!M33</f>
        <v>-3.25</v>
      </c>
      <c r="R18" s="152">
        <f ca="1">IS_All_TO!N33</f>
        <v>-3.4125000000000001</v>
      </c>
      <c r="S18" s="152">
        <f ca="1">IS_All_TO!O33</f>
        <v>-3.5750000000000002</v>
      </c>
      <c r="V18" s="166"/>
      <c r="W18" s="166"/>
      <c r="X18" s="166"/>
      <c r="Y18" s="166"/>
      <c r="Z18" s="166"/>
      <c r="AA18" s="166"/>
      <c r="AB18" s="166"/>
      <c r="AC18" s="166"/>
      <c r="AD18" s="166"/>
      <c r="AE18" s="166"/>
      <c r="AF18" s="166"/>
      <c r="AG18" s="166"/>
      <c r="AH18" s="166"/>
      <c r="AI18" s="166"/>
      <c r="AJ18" s="166"/>
      <c r="AK18" s="166"/>
      <c r="AL18" s="166"/>
      <c r="AM18" s="166"/>
      <c r="AQ18" s="171" t="s">
        <v>348</v>
      </c>
      <c r="AU18" s="5" t="str">
        <f>Fcast_OP_TO!C19</f>
        <v>Cost of Goods Sold</v>
      </c>
    </row>
    <row r="19" spans="2:57">
      <c r="B19" s="179" t="str">
        <f>IS_All_TO!C35</f>
        <v>Net Profit Before Tax</v>
      </c>
      <c r="C19" s="148"/>
      <c r="D19" s="148"/>
      <c r="E19" s="148"/>
      <c r="F19" s="148"/>
      <c r="G19" s="148"/>
      <c r="H19" s="148"/>
      <c r="I19" s="148"/>
      <c r="J19" s="148"/>
      <c r="K19" s="148"/>
      <c r="L19" s="148"/>
      <c r="M19" s="148"/>
      <c r="N19" s="153">
        <f>SUM(N17:N18)</f>
        <v>42.625</v>
      </c>
      <c r="O19" s="153">
        <f t="shared" ref="O19:S19" si="3">SUM(O17:O18)</f>
        <v>43.771875000000001</v>
      </c>
      <c r="P19" s="153">
        <f t="shared" si="3"/>
        <v>44.947421875000003</v>
      </c>
      <c r="Q19" s="153">
        <f t="shared" ca="1" si="3"/>
        <v>46.15235742187501</v>
      </c>
      <c r="R19" s="153">
        <f t="shared" ca="1" si="3"/>
        <v>47.22491635742189</v>
      </c>
      <c r="S19" s="153">
        <f t="shared" ca="1" si="3"/>
        <v>48.328351766357429</v>
      </c>
      <c r="V19" s="166"/>
      <c r="W19" s="166"/>
      <c r="X19" s="166"/>
      <c r="Y19" s="166"/>
      <c r="Z19" s="166"/>
      <c r="AA19" s="166"/>
      <c r="AB19" s="166"/>
      <c r="AC19" s="166"/>
      <c r="AD19" s="166"/>
      <c r="AE19" s="166"/>
      <c r="AF19" s="166"/>
      <c r="AG19" s="166"/>
      <c r="AH19" s="166"/>
      <c r="AI19" s="166"/>
      <c r="AJ19" s="166"/>
      <c r="AK19" s="166"/>
      <c r="AL19" s="166"/>
      <c r="AM19" s="166"/>
    </row>
    <row r="20" spans="2:57">
      <c r="B20" s="151" t="str">
        <f>IS_All_TO!D37</f>
        <v>Tax Expense / (Benefit)</v>
      </c>
      <c r="C20" s="148"/>
      <c r="D20" s="148"/>
      <c r="E20" s="148"/>
      <c r="F20" s="148"/>
      <c r="G20" s="148"/>
      <c r="H20" s="148"/>
      <c r="I20" s="148"/>
      <c r="J20" s="148"/>
      <c r="K20" s="148"/>
      <c r="L20" s="148"/>
      <c r="M20" s="148"/>
      <c r="N20" s="152">
        <f>IS_All_TO!J37</f>
        <v>-12.7875</v>
      </c>
      <c r="O20" s="152">
        <f>IS_All_TO!K37</f>
        <v>-13.131562499999999</v>
      </c>
      <c r="P20" s="152">
        <f>IS_All_TO!L37</f>
        <v>-13.4842265625</v>
      </c>
      <c r="Q20" s="152">
        <f ca="1">IS_All_TO!M37</f>
        <v>-13.845707226562503</v>
      </c>
      <c r="R20" s="152">
        <f ca="1">IS_All_TO!N37</f>
        <v>-14.167474907226566</v>
      </c>
      <c r="S20" s="152">
        <f ca="1">IS_All_TO!O37</f>
        <v>-14.498505529907227</v>
      </c>
      <c r="V20" s="166"/>
      <c r="W20" s="166"/>
      <c r="X20" s="166"/>
      <c r="Y20" s="166"/>
      <c r="Z20" s="166"/>
      <c r="AA20" s="166"/>
      <c r="AB20" s="166"/>
      <c r="AC20" s="166"/>
      <c r="AD20" s="166"/>
      <c r="AE20" s="166"/>
      <c r="AF20" s="166"/>
      <c r="AG20" s="166"/>
      <c r="AH20" s="166"/>
      <c r="AI20" s="166"/>
      <c r="AJ20" s="166"/>
      <c r="AK20" s="166"/>
      <c r="AL20" s="166"/>
      <c r="AM20" s="166"/>
      <c r="AQ20" s="5" t="str">
        <f>AU18&amp;" (Historical)"</f>
        <v>Cost of Goods Sold (Historical)</v>
      </c>
      <c r="AX20" s="95">
        <f>-IS_Hist_TO!J19</f>
        <v>25</v>
      </c>
      <c r="AY20" s="95">
        <f>-IS_Hist_TO!K19</f>
        <v>25.624999999999996</v>
      </c>
      <c r="AZ20" s="95">
        <f>-IS_Hist_TO!L19</f>
        <v>26.265624999999993</v>
      </c>
      <c r="BA20" s="95">
        <f>-IS_Hist_TO!M19</f>
        <v>0</v>
      </c>
      <c r="BB20" s="95">
        <f>-IS_Hist_TO!N19</f>
        <v>0</v>
      </c>
      <c r="BC20" s="95">
        <f>-IS_Hist_TO!O19</f>
        <v>0</v>
      </c>
      <c r="BD20" s="95">
        <f>-IS_Hist_TO!P19</f>
        <v>0</v>
      </c>
      <c r="BE20" s="95">
        <f>-IS_Hist_TO!Q19</f>
        <v>0</v>
      </c>
    </row>
    <row r="21" spans="2:57" ht="11.25" thickBot="1">
      <c r="B21" s="179" t="str">
        <f>IS_All_TO!C39</f>
        <v>Net Profit After Tax</v>
      </c>
      <c r="C21" s="148"/>
      <c r="D21" s="148"/>
      <c r="E21" s="148"/>
      <c r="F21" s="148"/>
      <c r="G21" s="148"/>
      <c r="H21" s="148"/>
      <c r="I21" s="148"/>
      <c r="J21" s="148"/>
      <c r="K21" s="148"/>
      <c r="L21" s="148"/>
      <c r="M21" s="148"/>
      <c r="N21" s="154">
        <f>SUM(N19:N20)</f>
        <v>29.837499999999999</v>
      </c>
      <c r="O21" s="154">
        <f t="shared" ref="O21:S21" si="4">SUM(O19:O20)</f>
        <v>30.6403125</v>
      </c>
      <c r="P21" s="154">
        <f t="shared" si="4"/>
        <v>31.463195312500005</v>
      </c>
      <c r="Q21" s="154">
        <f t="shared" ca="1" si="4"/>
        <v>32.306650195312507</v>
      </c>
      <c r="R21" s="154">
        <f t="shared" ca="1" si="4"/>
        <v>33.057441450195327</v>
      </c>
      <c r="S21" s="154">
        <f t="shared" ca="1" si="4"/>
        <v>33.829846236450202</v>
      </c>
      <c r="V21" s="166"/>
      <c r="W21" s="166"/>
      <c r="X21" s="166"/>
      <c r="Y21" s="166"/>
      <c r="Z21" s="166"/>
      <c r="AA21" s="166"/>
      <c r="AB21" s="166"/>
      <c r="AC21" s="166"/>
      <c r="AD21" s="166"/>
      <c r="AE21" s="166"/>
      <c r="AF21" s="166"/>
      <c r="AG21" s="166"/>
      <c r="AH21" s="166"/>
      <c r="AI21" s="166"/>
      <c r="AJ21" s="166"/>
      <c r="AK21" s="166"/>
      <c r="AL21" s="166"/>
      <c r="AM21" s="166"/>
      <c r="AQ21" s="5" t="str">
        <f>AU18&amp;" (Forecast)"</f>
        <v>Cost of Goods Sold (Forecast)</v>
      </c>
      <c r="AX21" s="95">
        <f>Fcast_OP_TO!J19</f>
        <v>0</v>
      </c>
      <c r="AY21" s="95">
        <f>Fcast_OP_TO!K19</f>
        <v>0</v>
      </c>
      <c r="AZ21" s="95">
        <f>Fcast_OP_TO!L19</f>
        <v>0</v>
      </c>
      <c r="BA21" s="95">
        <f>Fcast_OP_TO!M19</f>
        <v>26.922265624999991</v>
      </c>
      <c r="BB21" s="95">
        <f>Fcast_OP_TO!N19</f>
        <v>27.59532226562499</v>
      </c>
      <c r="BC21" s="95">
        <f>Fcast_OP_TO!O19</f>
        <v>28.285205322265611</v>
      </c>
      <c r="BD21" s="95">
        <f>Fcast_OP_TO!P19</f>
        <v>28.992335455322248</v>
      </c>
      <c r="BE21" s="95">
        <f>Fcast_OP_TO!Q19</f>
        <v>29.717143841705301</v>
      </c>
    </row>
    <row r="22" spans="2:57" ht="11.25" thickTop="1">
      <c r="V22" s="166"/>
      <c r="W22" s="166"/>
      <c r="X22" s="166"/>
      <c r="Y22" s="166"/>
      <c r="Z22" s="166"/>
      <c r="AA22" s="166"/>
      <c r="AB22" s="166"/>
      <c r="AC22" s="166"/>
      <c r="AD22" s="166"/>
      <c r="AE22" s="166"/>
      <c r="AF22" s="166"/>
      <c r="AG22" s="166"/>
      <c r="AH22" s="166"/>
      <c r="AI22" s="166"/>
      <c r="AJ22" s="166"/>
      <c r="AK22" s="166"/>
      <c r="AL22" s="166"/>
      <c r="AM22" s="166"/>
    </row>
    <row r="23" spans="2:57">
      <c r="V23" s="166"/>
      <c r="W23" s="166"/>
      <c r="X23" s="166"/>
      <c r="Y23" s="166"/>
      <c r="Z23" s="166"/>
      <c r="AA23" s="166"/>
      <c r="AB23" s="166"/>
      <c r="AC23" s="166"/>
      <c r="AD23" s="166"/>
      <c r="AE23" s="166"/>
      <c r="AF23" s="166"/>
      <c r="AG23" s="166"/>
      <c r="AH23" s="166"/>
      <c r="AI23" s="166"/>
      <c r="AJ23" s="166"/>
      <c r="AK23" s="166"/>
      <c r="AL23" s="166"/>
      <c r="AM23" s="166"/>
      <c r="AP23" s="171" t="s">
        <v>448</v>
      </c>
    </row>
    <row r="24" spans="2:57" ht="11.25">
      <c r="B24" s="335" t="s">
        <v>0</v>
      </c>
      <c r="C24" s="336"/>
      <c r="D24" s="336"/>
      <c r="E24" s="336"/>
      <c r="F24" s="336"/>
      <c r="G24" s="336"/>
      <c r="H24" s="336"/>
      <c r="I24" s="336"/>
      <c r="J24" s="336"/>
      <c r="K24" s="336"/>
      <c r="L24" s="336"/>
      <c r="M24" s="336"/>
      <c r="N24" s="336"/>
      <c r="O24" s="336"/>
      <c r="P24" s="336"/>
      <c r="Q24" s="336"/>
      <c r="R24" s="336"/>
      <c r="S24" s="337"/>
      <c r="V24" s="166"/>
      <c r="W24" s="166"/>
      <c r="X24" s="166"/>
      <c r="Y24" s="166"/>
      <c r="Z24" s="166"/>
      <c r="AA24" s="166"/>
      <c r="AB24" s="166"/>
      <c r="AC24" s="166"/>
      <c r="AD24" s="166"/>
      <c r="AE24" s="166"/>
      <c r="AF24" s="166"/>
      <c r="AG24" s="166"/>
      <c r="AH24" s="166"/>
      <c r="AI24" s="166"/>
      <c r="AJ24" s="166"/>
      <c r="AK24" s="166"/>
      <c r="AL24" s="166"/>
      <c r="AM24" s="166"/>
    </row>
    <row r="25" spans="2:57">
      <c r="B25" s="148"/>
      <c r="C25" s="148"/>
      <c r="D25" s="148"/>
      <c r="E25" s="148"/>
      <c r="F25" s="148"/>
      <c r="G25" s="148"/>
      <c r="H25" s="148"/>
      <c r="I25" s="148"/>
      <c r="J25" s="148"/>
      <c r="K25" s="148"/>
      <c r="L25" s="148"/>
      <c r="M25" s="148"/>
      <c r="N25" s="148"/>
      <c r="O25" s="148"/>
      <c r="P25" s="148"/>
      <c r="Q25" s="148"/>
      <c r="R25" s="148"/>
      <c r="S25" s="148"/>
      <c r="V25" s="166"/>
      <c r="W25" s="166"/>
      <c r="X25" s="166"/>
      <c r="Y25" s="166"/>
      <c r="Z25" s="166"/>
      <c r="AA25" s="166"/>
      <c r="AB25" s="166"/>
      <c r="AC25" s="166"/>
      <c r="AD25" s="166"/>
      <c r="AE25" s="166"/>
      <c r="AF25" s="166"/>
      <c r="AG25" s="166"/>
      <c r="AH25" s="166"/>
      <c r="AI25" s="166"/>
      <c r="AJ25" s="166"/>
      <c r="AK25" s="166"/>
      <c r="AL25" s="166"/>
      <c r="AM25" s="166"/>
      <c r="AQ25" s="171" t="s">
        <v>348</v>
      </c>
      <c r="AU25" s="5" t="str">
        <f>Fcast_OP_TO!C20</f>
        <v>Operating Expenditure</v>
      </c>
    </row>
    <row r="26" spans="2:57" ht="11.25">
      <c r="B26" s="149" t="str">
        <f>IF(TS_Periodicity=Annual,IS_All_TO!$B$7,IS_All_TO!$B$6)</f>
        <v>Year Ending 31 December</v>
      </c>
      <c r="C26" s="148"/>
      <c r="D26" s="148"/>
      <c r="E26" s="148"/>
      <c r="F26" s="148"/>
      <c r="G26" s="148"/>
      <c r="H26" s="148"/>
      <c r="I26" s="148"/>
      <c r="J26" s="148"/>
      <c r="K26" s="148"/>
      <c r="L26" s="148"/>
      <c r="M26" s="148"/>
      <c r="N26" s="150" t="str">
        <f>IF(TS_Periodicity=Annual,IS_All_TO!J$7,IS_All_TO!J$6)</f>
        <v xml:space="preserve">2010 (A) </v>
      </c>
      <c r="O26" s="150" t="str">
        <f>IF(TS_Periodicity=Annual,IS_All_TO!K$7,IS_All_TO!K$6)</f>
        <v xml:space="preserve">2011 (A) </v>
      </c>
      <c r="P26" s="150" t="str">
        <f>IF(TS_Periodicity=Annual,IS_All_TO!L$7,IS_All_TO!L$6)</f>
        <v xml:space="preserve">2012 (A) </v>
      </c>
      <c r="Q26" s="150" t="str">
        <f>IF(TS_Periodicity=Annual,IS_All_TO!M$7,IS_All_TO!M$6)</f>
        <v xml:space="preserve">2013 (F) </v>
      </c>
      <c r="R26" s="150" t="str">
        <f>IF(TS_Periodicity=Annual,IS_All_TO!N$7,IS_All_TO!N$6)</f>
        <v xml:space="preserve">2014 (F) </v>
      </c>
      <c r="S26" s="150" t="str">
        <f>IF(TS_Periodicity=Annual,IS_All_TO!O$7,IS_All_TO!O$6)</f>
        <v xml:space="preserve">2015 (F) </v>
      </c>
      <c r="V26" s="322" t="s">
        <v>430</v>
      </c>
      <c r="W26" s="322"/>
      <c r="X26" s="322"/>
      <c r="Y26" s="322"/>
      <c r="Z26" s="322"/>
      <c r="AA26" s="322"/>
      <c r="AB26" s="322"/>
      <c r="AC26" s="322"/>
      <c r="AD26" s="322"/>
      <c r="AE26" s="322"/>
      <c r="AF26" s="322"/>
      <c r="AG26" s="322"/>
      <c r="AH26" s="322"/>
      <c r="AI26" s="322"/>
      <c r="AJ26" s="322"/>
      <c r="AK26" s="322"/>
      <c r="AL26" s="322"/>
      <c r="AM26" s="322"/>
    </row>
    <row r="27" spans="2:57">
      <c r="B27" s="148"/>
      <c r="C27" s="148"/>
      <c r="D27" s="148"/>
      <c r="E27" s="148"/>
      <c r="F27" s="148"/>
      <c r="G27" s="148"/>
      <c r="H27" s="148"/>
      <c r="I27" s="148"/>
      <c r="J27" s="148"/>
      <c r="K27" s="148"/>
      <c r="L27" s="148"/>
      <c r="M27" s="148"/>
      <c r="N27" s="148"/>
      <c r="O27" s="148"/>
      <c r="P27" s="148"/>
      <c r="Q27" s="148"/>
      <c r="R27" s="148"/>
      <c r="S27" s="148"/>
      <c r="V27" s="166"/>
      <c r="W27" s="166"/>
      <c r="X27" s="166"/>
      <c r="Y27" s="166"/>
      <c r="Z27" s="166"/>
      <c r="AA27" s="166"/>
      <c r="AB27" s="166"/>
      <c r="AC27" s="166"/>
      <c r="AD27" s="166"/>
      <c r="AE27" s="166"/>
      <c r="AF27" s="166"/>
      <c r="AG27" s="166"/>
      <c r="AH27" s="166"/>
      <c r="AI27" s="166"/>
      <c r="AJ27" s="166"/>
      <c r="AK27" s="166"/>
      <c r="AL27" s="166"/>
      <c r="AM27" s="166"/>
      <c r="AQ27" s="5" t="str">
        <f>AU25&amp;" (Historical)"</f>
        <v>Operating Expenditure (Historical)</v>
      </c>
      <c r="AX27" s="95">
        <f>-IS_Hist_TO!J23</f>
        <v>40</v>
      </c>
      <c r="AY27" s="95">
        <f>-IS_Hist_TO!K23</f>
        <v>41</v>
      </c>
      <c r="AZ27" s="95">
        <f>-IS_Hist_TO!L23</f>
        <v>42.024999999999999</v>
      </c>
      <c r="BA27" s="95">
        <f>-IS_Hist_TO!M23</f>
        <v>0</v>
      </c>
      <c r="BB27" s="95">
        <f>-IS_Hist_TO!N23</f>
        <v>0</v>
      </c>
      <c r="BC27" s="95">
        <f>-IS_Hist_TO!O23</f>
        <v>0</v>
      </c>
      <c r="BD27" s="95">
        <f>-IS_Hist_TO!P23</f>
        <v>0</v>
      </c>
      <c r="BE27" s="95">
        <f>-IS_Hist_TO!Q23</f>
        <v>0</v>
      </c>
    </row>
    <row r="28" spans="2:57">
      <c r="B28" s="151" t="s">
        <v>30</v>
      </c>
      <c r="C28" s="148"/>
      <c r="D28" s="148"/>
      <c r="E28" s="148"/>
      <c r="F28" s="148"/>
      <c r="G28" s="148"/>
      <c r="H28" s="148"/>
      <c r="I28" s="148"/>
      <c r="J28" s="148"/>
      <c r="K28" s="148"/>
      <c r="L28" s="148"/>
      <c r="M28" s="148"/>
      <c r="N28" s="152">
        <f>BS_All_TO!J25</f>
        <v>20.773972602739725</v>
      </c>
      <c r="O28" s="152">
        <f>BS_All_TO!K25</f>
        <v>26.679158818493185</v>
      </c>
      <c r="P28" s="152">
        <f>BS_All_TO!L25</f>
        <v>40.39990838602489</v>
      </c>
      <c r="Q28" s="152">
        <f ca="1">BS_All_TO!M25</f>
        <v>54.913696895066394</v>
      </c>
      <c r="R28" s="152">
        <f ca="1">BS_All_TO!N25</f>
        <v>74.354563718127991</v>
      </c>
      <c r="S28" s="152">
        <f ca="1">BS_All_TO!O25</f>
        <v>89.103155336766122</v>
      </c>
      <c r="V28" s="166"/>
      <c r="W28" s="166"/>
      <c r="X28" s="166"/>
      <c r="Y28" s="166"/>
      <c r="Z28" s="166"/>
      <c r="AA28" s="166"/>
      <c r="AB28" s="166"/>
      <c r="AC28" s="166"/>
      <c r="AD28" s="166"/>
      <c r="AE28" s="166"/>
      <c r="AF28" s="166"/>
      <c r="AG28" s="166"/>
      <c r="AH28" s="166"/>
      <c r="AI28" s="166"/>
      <c r="AJ28" s="166"/>
      <c r="AK28" s="166"/>
      <c r="AL28" s="166"/>
      <c r="AM28" s="166"/>
      <c r="AQ28" s="5" t="str">
        <f>AU25&amp;" (Forecast)"</f>
        <v>Operating Expenditure (Forecast)</v>
      </c>
      <c r="AX28" s="95">
        <f>Fcast_OP_TO!J20</f>
        <v>0</v>
      </c>
      <c r="AY28" s="95">
        <f>Fcast_OP_TO!K20</f>
        <v>0</v>
      </c>
      <c r="AZ28" s="95">
        <f>Fcast_OP_TO!L20</f>
        <v>0</v>
      </c>
      <c r="BA28" s="95">
        <f>Fcast_OP_TO!M20</f>
        <v>43.075624999999995</v>
      </c>
      <c r="BB28" s="95">
        <f>Fcast_OP_TO!N20</f>
        <v>44.152515624999992</v>
      </c>
      <c r="BC28" s="95">
        <f>Fcast_OP_TO!O20</f>
        <v>45.256328515624986</v>
      </c>
      <c r="BD28" s="95">
        <f>Fcast_OP_TO!P20</f>
        <v>46.387736728515605</v>
      </c>
      <c r="BE28" s="95">
        <f>Fcast_OP_TO!Q20</f>
        <v>47.547430146728495</v>
      </c>
    </row>
    <row r="29" spans="2:57">
      <c r="B29" s="151" t="s">
        <v>31</v>
      </c>
      <c r="C29" s="148"/>
      <c r="D29" s="148"/>
      <c r="E29" s="148"/>
      <c r="F29" s="148"/>
      <c r="G29" s="148"/>
      <c r="H29" s="148"/>
      <c r="I29" s="148"/>
      <c r="J29" s="148"/>
      <c r="K29" s="148"/>
      <c r="L29" s="148"/>
      <c r="M29" s="148"/>
      <c r="N29" s="152">
        <f>BS_All_TO!J33</f>
        <v>163.875</v>
      </c>
      <c r="O29" s="152">
        <f>BS_All_TO!K33</f>
        <v>168.33437499999999</v>
      </c>
      <c r="P29" s="152">
        <f>BS_All_TO!L33</f>
        <v>172.88023437499999</v>
      </c>
      <c r="Q29" s="152">
        <f ca="1">BS_All_TO!M33</f>
        <v>177.51474023437501</v>
      </c>
      <c r="R29" s="152">
        <f ca="1">BS_All_TO!N33</f>
        <v>182.2401087402344</v>
      </c>
      <c r="S29" s="152">
        <f ca="1">BS_All_TO!O33</f>
        <v>187.05861145874027</v>
      </c>
      <c r="V29" s="166"/>
      <c r="W29" s="166"/>
      <c r="X29" s="166"/>
      <c r="Y29" s="166"/>
      <c r="Z29" s="166"/>
      <c r="AA29" s="166"/>
      <c r="AB29" s="166"/>
      <c r="AC29" s="166"/>
      <c r="AD29" s="166"/>
      <c r="AE29" s="166"/>
      <c r="AF29" s="166"/>
      <c r="AG29" s="166"/>
      <c r="AH29" s="166"/>
      <c r="AI29" s="166"/>
      <c r="AJ29" s="166"/>
      <c r="AK29" s="166"/>
      <c r="AL29" s="166"/>
      <c r="AM29" s="166"/>
    </row>
    <row r="30" spans="2:57">
      <c r="B30" s="155" t="s">
        <v>32</v>
      </c>
      <c r="C30" s="148"/>
      <c r="D30" s="148"/>
      <c r="E30" s="148"/>
      <c r="F30" s="148"/>
      <c r="G30" s="148"/>
      <c r="H30" s="148"/>
      <c r="I30" s="148"/>
      <c r="J30" s="148"/>
      <c r="K30" s="148"/>
      <c r="L30" s="148"/>
      <c r="M30" s="148"/>
      <c r="N30" s="153">
        <f>SUM(N28:N29)</f>
        <v>184.64897260273972</v>
      </c>
      <c r="O30" s="153">
        <f t="shared" ref="O30:S30" si="5">SUM(O28:O29)</f>
        <v>195.01353381849319</v>
      </c>
      <c r="P30" s="153">
        <f t="shared" si="5"/>
        <v>213.28014276102488</v>
      </c>
      <c r="Q30" s="153">
        <f t="shared" ca="1" si="5"/>
        <v>232.42843712944142</v>
      </c>
      <c r="R30" s="153">
        <f t="shared" ca="1" si="5"/>
        <v>256.59467245836242</v>
      </c>
      <c r="S30" s="153">
        <f t="shared" ca="1" si="5"/>
        <v>276.16176679550642</v>
      </c>
      <c r="V30" s="166"/>
      <c r="W30" s="166"/>
      <c r="X30" s="166"/>
      <c r="Y30" s="166"/>
      <c r="Z30" s="166"/>
      <c r="AA30" s="166"/>
      <c r="AB30" s="166"/>
      <c r="AC30" s="166"/>
      <c r="AD30" s="166"/>
      <c r="AE30" s="166"/>
      <c r="AF30" s="166"/>
      <c r="AG30" s="166"/>
      <c r="AH30" s="166"/>
      <c r="AI30" s="166"/>
      <c r="AJ30" s="166"/>
      <c r="AK30" s="166"/>
      <c r="AL30" s="166"/>
      <c r="AM30" s="166"/>
      <c r="AP30" s="171" t="s">
        <v>449</v>
      </c>
      <c r="AQ30" s="5"/>
      <c r="AX30" s="94"/>
    </row>
    <row r="31" spans="2:57">
      <c r="B31" s="148"/>
      <c r="C31" s="148"/>
      <c r="D31" s="148"/>
      <c r="E31" s="148"/>
      <c r="F31" s="148"/>
      <c r="G31" s="148"/>
      <c r="H31" s="148"/>
      <c r="I31" s="148"/>
      <c r="J31" s="148"/>
      <c r="K31" s="148"/>
      <c r="L31" s="148"/>
      <c r="M31" s="148"/>
      <c r="N31" s="152"/>
      <c r="O31" s="152"/>
      <c r="P31" s="152"/>
      <c r="Q31" s="152"/>
      <c r="R31" s="152"/>
      <c r="S31" s="152"/>
      <c r="V31" s="166"/>
      <c r="W31" s="166"/>
      <c r="X31" s="166"/>
      <c r="Y31" s="166"/>
      <c r="Z31" s="166"/>
      <c r="AA31" s="166"/>
      <c r="AB31" s="166"/>
      <c r="AC31" s="166"/>
      <c r="AD31" s="166"/>
      <c r="AE31" s="166"/>
      <c r="AF31" s="166"/>
      <c r="AG31" s="166"/>
      <c r="AH31" s="166"/>
      <c r="AI31" s="166"/>
      <c r="AJ31" s="166"/>
      <c r="AK31" s="166"/>
      <c r="AL31" s="166"/>
      <c r="AM31" s="166"/>
      <c r="AQ31" s="5"/>
      <c r="AX31" s="94"/>
    </row>
    <row r="32" spans="2:57">
      <c r="B32" s="151" t="s">
        <v>33</v>
      </c>
      <c r="C32" s="148"/>
      <c r="D32" s="148"/>
      <c r="E32" s="148"/>
      <c r="F32" s="148"/>
      <c r="G32" s="148"/>
      <c r="H32" s="148"/>
      <c r="I32" s="148"/>
      <c r="J32" s="148"/>
      <c r="K32" s="148"/>
      <c r="L32" s="148"/>
      <c r="M32" s="148"/>
      <c r="N32" s="152">
        <f>BS_All_TO!J44</f>
        <v>25.801198630136987</v>
      </c>
      <c r="O32" s="152">
        <f>BS_All_TO!K44</f>
        <v>27.345603595890413</v>
      </c>
      <c r="P32" s="152">
        <f>BS_All_TO!L44</f>
        <v>28.880614882172132</v>
      </c>
      <c r="Q32" s="152">
        <f ca="1">BS_All_TO!M44</f>
        <v>30.475584152932367</v>
      </c>
      <c r="R32" s="152">
        <f ca="1">BS_All_TO!N44</f>
        <v>32.013098756755682</v>
      </c>
      <c r="S32" s="152">
        <f ca="1">BS_All_TO!O44</f>
        <v>33.565269975674568</v>
      </c>
      <c r="V32" s="166"/>
      <c r="W32" s="166"/>
      <c r="X32" s="166"/>
      <c r="Y32" s="166"/>
      <c r="Z32" s="166"/>
      <c r="AA32" s="166"/>
      <c r="AB32" s="166"/>
      <c r="AC32" s="166"/>
      <c r="AD32" s="166"/>
      <c r="AE32" s="166"/>
      <c r="AF32" s="166"/>
      <c r="AG32" s="166"/>
      <c r="AH32" s="166"/>
      <c r="AI32" s="166"/>
      <c r="AJ32" s="166"/>
      <c r="AK32" s="166"/>
      <c r="AL32" s="166"/>
      <c r="AM32" s="166"/>
      <c r="AQ32" s="171" t="s">
        <v>348</v>
      </c>
      <c r="AU32" s="116" t="str">
        <f>"Net Assets - "&amp;INDEX(LU_Dashboard_Selected_Period,AU34)</f>
        <v xml:space="preserve">Net Assets - 2010 (A) </v>
      </c>
    </row>
    <row r="33" spans="2:57">
      <c r="B33" s="151" t="s">
        <v>35</v>
      </c>
      <c r="C33" s="148"/>
      <c r="D33" s="148"/>
      <c r="E33" s="148"/>
      <c r="F33" s="148"/>
      <c r="G33" s="148"/>
      <c r="H33" s="148"/>
      <c r="I33" s="148"/>
      <c r="J33" s="148"/>
      <c r="K33" s="148"/>
      <c r="L33" s="148"/>
      <c r="M33" s="148"/>
      <c r="N33" s="152">
        <f>BS_All_TO!J51</f>
        <v>56</v>
      </c>
      <c r="O33" s="152">
        <f>BS_All_TO!K51</f>
        <v>57</v>
      </c>
      <c r="P33" s="152">
        <f>BS_All_TO!L51</f>
        <v>58</v>
      </c>
      <c r="Q33" s="152">
        <f ca="1">BS_All_TO!M51</f>
        <v>59</v>
      </c>
      <c r="R33" s="152">
        <f ca="1">BS_All_TO!N51</f>
        <v>65</v>
      </c>
      <c r="S33" s="152">
        <f ca="1">BS_All_TO!O51</f>
        <v>66</v>
      </c>
      <c r="V33" s="166"/>
      <c r="W33" s="166"/>
      <c r="X33" s="166"/>
      <c r="Y33" s="166"/>
      <c r="Z33" s="166"/>
      <c r="AA33" s="166"/>
      <c r="AB33" s="166"/>
      <c r="AC33" s="166"/>
      <c r="AD33" s="166"/>
      <c r="AE33" s="166"/>
      <c r="AF33" s="166"/>
      <c r="AG33" s="166"/>
      <c r="AH33" s="166"/>
      <c r="AI33" s="166"/>
      <c r="AJ33" s="166"/>
      <c r="AK33" s="166"/>
      <c r="AL33" s="166"/>
      <c r="AM33" s="166"/>
    </row>
    <row r="34" spans="2:57">
      <c r="B34" s="155" t="s">
        <v>36</v>
      </c>
      <c r="C34" s="148"/>
      <c r="D34" s="148"/>
      <c r="E34" s="148"/>
      <c r="F34" s="148"/>
      <c r="G34" s="148"/>
      <c r="H34" s="148"/>
      <c r="I34" s="148"/>
      <c r="J34" s="148"/>
      <c r="K34" s="148"/>
      <c r="L34" s="148"/>
      <c r="M34" s="148"/>
      <c r="N34" s="153">
        <f>SUM(N32:N33)</f>
        <v>81.80119863013698</v>
      </c>
      <c r="O34" s="153">
        <f t="shared" ref="O34:S34" si="6">SUM(O32:O33)</f>
        <v>84.34560359589041</v>
      </c>
      <c r="P34" s="153">
        <f t="shared" si="6"/>
        <v>86.880614882172125</v>
      </c>
      <c r="Q34" s="153">
        <f t="shared" ca="1" si="6"/>
        <v>89.47558415293237</v>
      </c>
      <c r="R34" s="153">
        <f t="shared" ca="1" si="6"/>
        <v>97.013098756755682</v>
      </c>
      <c r="S34" s="153">
        <f t="shared" ca="1" si="6"/>
        <v>99.565269975674568</v>
      </c>
      <c r="V34" s="166"/>
      <c r="W34" s="166"/>
      <c r="X34" s="166"/>
      <c r="Y34" s="166"/>
      <c r="Z34" s="166"/>
      <c r="AA34" s="166"/>
      <c r="AB34" s="166"/>
      <c r="AC34" s="166"/>
      <c r="AD34" s="166"/>
      <c r="AE34" s="166"/>
      <c r="AF34" s="166"/>
      <c r="AG34" s="166"/>
      <c r="AH34" s="166"/>
      <c r="AI34" s="166"/>
      <c r="AJ34" s="166"/>
      <c r="AK34" s="166"/>
      <c r="AL34" s="166"/>
      <c r="AM34" s="166"/>
      <c r="AQ34" s="171" t="s">
        <v>444</v>
      </c>
      <c r="AU34" s="262">
        <v>1</v>
      </c>
    </row>
    <row r="35" spans="2:57">
      <c r="B35" s="148"/>
      <c r="C35" s="148"/>
      <c r="D35" s="148"/>
      <c r="E35" s="148"/>
      <c r="F35" s="148"/>
      <c r="G35" s="148"/>
      <c r="H35" s="148"/>
      <c r="I35" s="148"/>
      <c r="J35" s="148"/>
      <c r="K35" s="148"/>
      <c r="L35" s="148"/>
      <c r="M35" s="148"/>
      <c r="N35" s="152"/>
      <c r="O35" s="152"/>
      <c r="P35" s="152"/>
      <c r="Q35" s="152"/>
      <c r="R35" s="152"/>
      <c r="S35" s="152"/>
      <c r="V35" s="166"/>
      <c r="W35" s="166"/>
      <c r="X35" s="166"/>
      <c r="Y35" s="166"/>
      <c r="Z35" s="166"/>
      <c r="AA35" s="166"/>
      <c r="AB35" s="166"/>
      <c r="AC35" s="166"/>
      <c r="AD35" s="166"/>
      <c r="AE35" s="166"/>
      <c r="AF35" s="166"/>
      <c r="AG35" s="166"/>
      <c r="AH35" s="166"/>
      <c r="AI35" s="166"/>
      <c r="AJ35" s="166"/>
      <c r="AK35" s="166"/>
      <c r="AL35" s="166"/>
      <c r="AM35" s="166"/>
      <c r="AX35" s="327" t="s">
        <v>9</v>
      </c>
      <c r="AY35" s="327" t="s">
        <v>450</v>
      </c>
      <c r="AZ35" s="327" t="s">
        <v>451</v>
      </c>
      <c r="BA35" s="327" t="s">
        <v>452</v>
      </c>
      <c r="BB35" s="327" t="s">
        <v>453</v>
      </c>
    </row>
    <row r="36" spans="2:57">
      <c r="B36" s="155" t="s">
        <v>37</v>
      </c>
      <c r="C36" s="148"/>
      <c r="D36" s="148"/>
      <c r="E36" s="148"/>
      <c r="F36" s="148"/>
      <c r="G36" s="148"/>
      <c r="H36" s="148"/>
      <c r="I36" s="148"/>
      <c r="J36" s="148"/>
      <c r="K36" s="148"/>
      <c r="L36" s="148"/>
      <c r="M36" s="148"/>
      <c r="N36" s="156">
        <f>N30-N34</f>
        <v>102.84777397260274</v>
      </c>
      <c r="O36" s="156">
        <f t="shared" ref="O36:S36" si="7">O30-O34</f>
        <v>110.66793022260278</v>
      </c>
      <c r="P36" s="156">
        <f t="shared" si="7"/>
        <v>126.39952787885275</v>
      </c>
      <c r="Q36" s="156">
        <f t="shared" ca="1" si="7"/>
        <v>142.95285297650906</v>
      </c>
      <c r="R36" s="156">
        <f t="shared" ca="1" si="7"/>
        <v>159.58157370160674</v>
      </c>
      <c r="S36" s="156">
        <f t="shared" ca="1" si="7"/>
        <v>176.59649681983186</v>
      </c>
      <c r="V36" s="166"/>
      <c r="W36" s="166"/>
      <c r="X36" s="166"/>
      <c r="Y36" s="166"/>
      <c r="Z36" s="166"/>
      <c r="AA36" s="166"/>
      <c r="AB36" s="166"/>
      <c r="AC36" s="166"/>
      <c r="AD36" s="166"/>
      <c r="AE36" s="166"/>
      <c r="AF36" s="166"/>
      <c r="AG36" s="166"/>
      <c r="AH36" s="166"/>
      <c r="AI36" s="166"/>
      <c r="AJ36" s="166"/>
      <c r="AK36" s="166"/>
      <c r="AL36" s="166"/>
      <c r="AM36" s="166"/>
      <c r="AQ36" s="171" t="s">
        <v>454</v>
      </c>
      <c r="AX36" s="328"/>
      <c r="AY36" s="328"/>
      <c r="AZ36" s="328"/>
      <c r="BA36" s="328"/>
      <c r="BB36" s="328"/>
    </row>
    <row r="37" spans="2:57">
      <c r="B37" s="148"/>
      <c r="C37" s="148"/>
      <c r="D37" s="148"/>
      <c r="E37" s="148"/>
      <c r="F37" s="148"/>
      <c r="G37" s="148"/>
      <c r="H37" s="148"/>
      <c r="I37" s="148"/>
      <c r="J37" s="148"/>
      <c r="K37" s="148"/>
      <c r="L37" s="148"/>
      <c r="M37" s="148"/>
      <c r="N37" s="152"/>
      <c r="O37" s="152"/>
      <c r="P37" s="152"/>
      <c r="Q37" s="152"/>
      <c r="R37" s="152"/>
      <c r="S37" s="152"/>
      <c r="V37" s="166"/>
      <c r="W37" s="166"/>
      <c r="X37" s="166"/>
      <c r="Y37" s="166"/>
      <c r="Z37" s="166"/>
      <c r="AA37" s="166"/>
      <c r="AB37" s="166"/>
      <c r="AC37" s="166"/>
      <c r="AD37" s="166"/>
      <c r="AE37" s="166"/>
      <c r="AF37" s="166"/>
      <c r="AG37" s="166"/>
      <c r="AH37" s="166"/>
      <c r="AI37" s="166"/>
      <c r="AJ37" s="166"/>
      <c r="AK37" s="166"/>
      <c r="AL37" s="166"/>
      <c r="AM37" s="166"/>
      <c r="AQ37" s="170" t="s">
        <v>455</v>
      </c>
      <c r="AX37" s="94">
        <f ca="1">OFFSET($N$30,0,AU34-1)</f>
        <v>184.64897260273972</v>
      </c>
      <c r="AY37" s="94"/>
      <c r="AZ37" s="163">
        <v>0</v>
      </c>
      <c r="BA37" s="165">
        <f ca="1">AX37</f>
        <v>184.64897260273972</v>
      </c>
      <c r="BB37" s="94">
        <f ca="1">SUM(AZ37:BA37)</f>
        <v>184.64897260273972</v>
      </c>
    </row>
    <row r="38" spans="2:57">
      <c r="B38" s="151" t="str">
        <f>BS_All_TO!D59</f>
        <v>Ordinary Equity</v>
      </c>
      <c r="C38" s="148"/>
      <c r="D38" s="148"/>
      <c r="E38" s="148"/>
      <c r="F38" s="148"/>
      <c r="G38" s="148"/>
      <c r="H38" s="148"/>
      <c r="I38" s="148"/>
      <c r="J38" s="148"/>
      <c r="K38" s="148"/>
      <c r="L38" s="148"/>
      <c r="M38" s="148"/>
      <c r="N38" s="152">
        <f>BS_All_TO!J59</f>
        <v>75</v>
      </c>
      <c r="O38" s="152">
        <f>BS_All_TO!K59</f>
        <v>75</v>
      </c>
      <c r="P38" s="152">
        <f>BS_All_TO!L59</f>
        <v>75</v>
      </c>
      <c r="Q38" s="152">
        <f ca="1">BS_All_TO!M59</f>
        <v>75</v>
      </c>
      <c r="R38" s="152">
        <f ca="1">BS_All_TO!N59</f>
        <v>75</v>
      </c>
      <c r="S38" s="152">
        <f ca="1">BS_All_TO!O59</f>
        <v>75</v>
      </c>
      <c r="V38" s="166"/>
      <c r="W38" s="166"/>
      <c r="X38" s="166"/>
      <c r="Y38" s="166"/>
      <c r="Z38" s="166"/>
      <c r="AA38" s="166"/>
      <c r="AB38" s="166"/>
      <c r="AC38" s="166"/>
      <c r="AD38" s="166"/>
      <c r="AE38" s="166"/>
      <c r="AF38" s="166"/>
      <c r="AG38" s="166"/>
      <c r="AH38" s="166"/>
      <c r="AI38" s="166"/>
      <c r="AJ38" s="166"/>
      <c r="AK38" s="166"/>
      <c r="AL38" s="166"/>
      <c r="AM38" s="166"/>
      <c r="AQ38" s="170" t="s">
        <v>456</v>
      </c>
      <c r="AX38" s="96"/>
      <c r="AY38" s="96">
        <f ca="1">-OFFSET($N$34,0,AU34-1)</f>
        <v>-81.80119863013698</v>
      </c>
      <c r="AZ38" s="164">
        <f ca="1">BA37+IF(AY38&lt;0,AY38,0)</f>
        <v>102.84777397260274</v>
      </c>
      <c r="BA38" s="96">
        <f ca="1">ABS(AY38)</f>
        <v>81.80119863013698</v>
      </c>
      <c r="BB38" s="96">
        <f ca="1">SUM(AZ38:BA38)</f>
        <v>184.64897260273972</v>
      </c>
    </row>
    <row r="39" spans="2:57">
      <c r="B39" s="151" t="str">
        <f>BS_All_TO!D60</f>
        <v>Other Equity</v>
      </c>
      <c r="C39" s="148"/>
      <c r="D39" s="148"/>
      <c r="E39" s="148"/>
      <c r="F39" s="148"/>
      <c r="G39" s="148"/>
      <c r="H39" s="148"/>
      <c r="I39" s="148"/>
      <c r="J39" s="148"/>
      <c r="K39" s="148"/>
      <c r="L39" s="148"/>
      <c r="M39" s="148"/>
      <c r="N39" s="152">
        <f>BS_All_TO!J60</f>
        <v>5</v>
      </c>
      <c r="O39" s="152">
        <f>BS_All_TO!K60</f>
        <v>5</v>
      </c>
      <c r="P39" s="152">
        <f>BS_All_TO!L60</f>
        <v>5</v>
      </c>
      <c r="Q39" s="152">
        <f>BS_All_TO!M60</f>
        <v>5.3999999999999986</v>
      </c>
      <c r="R39" s="152">
        <f>BS_All_TO!N60</f>
        <v>5.4999999999999982</v>
      </c>
      <c r="S39" s="152">
        <f>BS_All_TO!O60</f>
        <v>5.5999999999999979</v>
      </c>
      <c r="V39" s="166"/>
      <c r="W39" s="166"/>
      <c r="X39" s="166"/>
      <c r="Y39" s="166"/>
      <c r="Z39" s="166"/>
      <c r="AA39" s="166"/>
      <c r="AB39" s="166"/>
      <c r="AC39" s="166"/>
      <c r="AD39" s="166"/>
      <c r="AE39" s="166"/>
      <c r="AF39" s="166"/>
      <c r="AG39" s="166"/>
      <c r="AH39" s="166"/>
      <c r="AI39" s="166"/>
      <c r="AJ39" s="166"/>
      <c r="AK39" s="166"/>
      <c r="AL39" s="166"/>
      <c r="AM39" s="166"/>
      <c r="AQ39" s="171" t="s">
        <v>37</v>
      </c>
      <c r="AX39" s="97">
        <f ca="1">AX37+SUM(AY38:AY38)</f>
        <v>102.84777397260274</v>
      </c>
      <c r="AY39" s="97"/>
      <c r="AZ39" s="162">
        <v>0</v>
      </c>
      <c r="BA39" s="97">
        <f ca="1">SUM(AX37,AY38:AY38)</f>
        <v>102.84777397260274</v>
      </c>
      <c r="BB39" s="97">
        <f ca="1">SUM(AZ39:BA39)</f>
        <v>102.84777397260274</v>
      </c>
    </row>
    <row r="40" spans="2:57">
      <c r="B40" s="151" t="str">
        <f>BS_All_TO!D66</f>
        <v>Retained Profits</v>
      </c>
      <c r="C40" s="148"/>
      <c r="D40" s="148"/>
      <c r="E40" s="148"/>
      <c r="F40" s="148"/>
      <c r="G40" s="148"/>
      <c r="H40" s="148"/>
      <c r="I40" s="148"/>
      <c r="J40" s="148"/>
      <c r="K40" s="148"/>
      <c r="L40" s="148"/>
      <c r="M40" s="148"/>
      <c r="N40" s="152">
        <f>BS_All_TO!J66</f>
        <v>22.847773972602738</v>
      </c>
      <c r="O40" s="152">
        <f>BS_All_TO!K66</f>
        <v>30.667930222602777</v>
      </c>
      <c r="P40" s="152">
        <f>BS_All_TO!L66</f>
        <v>46.399527878852751</v>
      </c>
      <c r="Q40" s="152">
        <f ca="1">BS_All_TO!M66</f>
        <v>62.552852976509001</v>
      </c>
      <c r="R40" s="152">
        <f ca="1">BS_All_TO!N66</f>
        <v>79.081573701606658</v>
      </c>
      <c r="S40" s="152">
        <f ca="1">BS_All_TO!O66</f>
        <v>95.996496819831762</v>
      </c>
      <c r="V40" s="166"/>
      <c r="W40" s="166"/>
      <c r="X40" s="166"/>
      <c r="Y40" s="166"/>
      <c r="Z40" s="166"/>
      <c r="AA40" s="166"/>
      <c r="AB40" s="166"/>
      <c r="AC40" s="166"/>
      <c r="AD40" s="166"/>
      <c r="AE40" s="166"/>
      <c r="AF40" s="166"/>
      <c r="AG40" s="166"/>
      <c r="AH40" s="166"/>
      <c r="AI40" s="166"/>
      <c r="AJ40" s="166"/>
      <c r="AK40" s="166"/>
      <c r="AL40" s="166"/>
      <c r="AM40" s="166"/>
    </row>
    <row r="41" spans="2:57">
      <c r="B41" s="155" t="s">
        <v>40</v>
      </c>
      <c r="C41" s="148"/>
      <c r="D41" s="148"/>
      <c r="E41" s="148"/>
      <c r="F41" s="148"/>
      <c r="G41" s="148"/>
      <c r="H41" s="148"/>
      <c r="I41" s="148"/>
      <c r="J41" s="148"/>
      <c r="K41" s="148"/>
      <c r="L41" s="148"/>
      <c r="M41" s="148"/>
      <c r="N41" s="156">
        <f>SUM(N38:N40)</f>
        <v>102.84777397260274</v>
      </c>
      <c r="O41" s="156">
        <f t="shared" ref="O41:S41" si="8">SUM(O38:O40)</f>
        <v>110.66793022260278</v>
      </c>
      <c r="P41" s="156">
        <f t="shared" si="8"/>
        <v>126.39952787885275</v>
      </c>
      <c r="Q41" s="156">
        <f t="shared" ca="1" si="8"/>
        <v>142.95285297650901</v>
      </c>
      <c r="R41" s="156">
        <f t="shared" ca="1" si="8"/>
        <v>159.58157370160666</v>
      </c>
      <c r="S41" s="156">
        <f t="shared" ca="1" si="8"/>
        <v>176.59649681983177</v>
      </c>
      <c r="V41" s="166"/>
      <c r="W41" s="166"/>
      <c r="X41" s="166"/>
      <c r="Y41" s="166"/>
      <c r="Z41" s="166"/>
      <c r="AA41" s="166"/>
      <c r="AB41" s="166"/>
      <c r="AC41" s="166"/>
      <c r="AD41" s="166"/>
      <c r="AE41" s="166"/>
      <c r="AF41" s="166"/>
      <c r="AG41" s="166"/>
      <c r="AH41" s="166"/>
      <c r="AI41" s="166"/>
      <c r="AJ41" s="166"/>
      <c r="AK41" s="166"/>
      <c r="AL41" s="166"/>
      <c r="AM41" s="166"/>
      <c r="AP41" s="171" t="s">
        <v>566</v>
      </c>
    </row>
    <row r="42" spans="2:57">
      <c r="B42" s="148"/>
      <c r="C42" s="148"/>
      <c r="D42" s="148"/>
      <c r="E42" s="148"/>
      <c r="F42" s="148"/>
      <c r="G42" s="148"/>
      <c r="H42" s="148"/>
      <c r="I42" s="148"/>
      <c r="J42" s="148"/>
      <c r="K42" s="148"/>
      <c r="L42" s="148"/>
      <c r="M42" s="148"/>
      <c r="N42" s="148"/>
      <c r="O42" s="148"/>
      <c r="P42" s="148"/>
      <c r="Q42" s="148"/>
      <c r="R42" s="148"/>
      <c r="S42" s="148"/>
      <c r="V42" s="166"/>
      <c r="W42" s="166"/>
      <c r="X42" s="166"/>
      <c r="Y42" s="166"/>
      <c r="Z42" s="166"/>
      <c r="AA42" s="166"/>
      <c r="AB42" s="166"/>
      <c r="AC42" s="166"/>
      <c r="AD42" s="166"/>
      <c r="AE42" s="166"/>
      <c r="AF42" s="166"/>
      <c r="AG42" s="166"/>
      <c r="AH42" s="166"/>
      <c r="AI42" s="166"/>
      <c r="AJ42" s="166"/>
      <c r="AK42" s="166"/>
      <c r="AL42" s="166"/>
      <c r="AM42" s="166"/>
    </row>
    <row r="43" spans="2:57">
      <c r="V43" s="166"/>
      <c r="W43" s="166"/>
      <c r="X43" s="166"/>
      <c r="Y43" s="166"/>
      <c r="Z43" s="166"/>
      <c r="AA43" s="166"/>
      <c r="AB43" s="166"/>
      <c r="AC43" s="166"/>
      <c r="AD43" s="166"/>
      <c r="AE43" s="166"/>
      <c r="AF43" s="166"/>
      <c r="AG43" s="166"/>
      <c r="AH43" s="166"/>
      <c r="AI43" s="166"/>
      <c r="AJ43" s="166"/>
      <c r="AK43" s="166"/>
      <c r="AL43" s="166"/>
      <c r="AM43" s="166"/>
      <c r="AQ43" s="171" t="s">
        <v>348</v>
      </c>
      <c r="AU43" s="170" t="s">
        <v>496</v>
      </c>
    </row>
    <row r="44" spans="2:57" ht="11.25">
      <c r="B44" s="329" t="s">
        <v>45</v>
      </c>
      <c r="C44" s="330"/>
      <c r="D44" s="330"/>
      <c r="E44" s="330"/>
      <c r="F44" s="330"/>
      <c r="G44" s="330"/>
      <c r="H44" s="330"/>
      <c r="I44" s="330"/>
      <c r="J44" s="330"/>
      <c r="K44" s="330"/>
      <c r="L44" s="330"/>
      <c r="M44" s="330"/>
      <c r="N44" s="330"/>
      <c r="O44" s="330"/>
      <c r="P44" s="330"/>
      <c r="Q44" s="330"/>
      <c r="R44" s="330"/>
      <c r="S44" s="331"/>
      <c r="V44" s="166"/>
      <c r="W44" s="166"/>
      <c r="X44" s="166"/>
      <c r="Y44" s="166"/>
      <c r="Z44" s="166"/>
      <c r="AA44" s="166"/>
      <c r="AB44" s="166"/>
      <c r="AC44" s="166"/>
      <c r="AD44" s="166"/>
      <c r="AE44" s="166"/>
      <c r="AF44" s="166"/>
      <c r="AG44" s="166"/>
      <c r="AH44" s="166"/>
      <c r="AI44" s="166"/>
      <c r="AJ44" s="166"/>
      <c r="AK44" s="166"/>
      <c r="AL44" s="166"/>
      <c r="AM44" s="166"/>
    </row>
    <row r="45" spans="2:57">
      <c r="B45" s="148"/>
      <c r="C45" s="148"/>
      <c r="D45" s="148"/>
      <c r="E45" s="148"/>
      <c r="F45" s="148"/>
      <c r="G45" s="148"/>
      <c r="H45" s="148"/>
      <c r="I45" s="148"/>
      <c r="J45" s="148"/>
      <c r="K45" s="148"/>
      <c r="L45" s="148"/>
      <c r="M45" s="148"/>
      <c r="N45" s="148"/>
      <c r="O45" s="148"/>
      <c r="P45" s="148"/>
      <c r="Q45" s="148"/>
      <c r="R45" s="148"/>
      <c r="S45" s="148"/>
      <c r="V45" s="166"/>
      <c r="W45" s="166"/>
      <c r="X45" s="166"/>
      <c r="Y45" s="166"/>
      <c r="Z45" s="166"/>
      <c r="AA45" s="166"/>
      <c r="AB45" s="166"/>
      <c r="AC45" s="166"/>
      <c r="AD45" s="166"/>
      <c r="AE45" s="166"/>
      <c r="AF45" s="166"/>
      <c r="AG45" s="166"/>
      <c r="AH45" s="166"/>
      <c r="AI45" s="166"/>
      <c r="AJ45" s="166"/>
      <c r="AK45" s="166"/>
      <c r="AL45" s="166"/>
      <c r="AM45" s="166"/>
      <c r="AQ45" s="5" t="str">
        <f>AQ13</f>
        <v>Revenue (Historical)</v>
      </c>
      <c r="AX45" s="95">
        <f>AX13</f>
        <v>125</v>
      </c>
      <c r="AY45" s="95">
        <f t="shared" ref="AY45:BE45" si="9">AY13</f>
        <v>128.125</v>
      </c>
      <c r="AZ45" s="95">
        <f t="shared" si="9"/>
        <v>131.328125</v>
      </c>
      <c r="BA45" s="95">
        <f t="shared" si="9"/>
        <v>0</v>
      </c>
      <c r="BB45" s="95">
        <f t="shared" si="9"/>
        <v>0</v>
      </c>
      <c r="BC45" s="95">
        <f t="shared" si="9"/>
        <v>0</v>
      </c>
      <c r="BD45" s="95">
        <f t="shared" si="9"/>
        <v>0</v>
      </c>
      <c r="BE45" s="95">
        <f t="shared" si="9"/>
        <v>0</v>
      </c>
    </row>
    <row r="46" spans="2:57" ht="11.25">
      <c r="B46" s="149" t="str">
        <f>IF(TS_Periodicity=Annual,IS_All_TO!$B$7,IS_All_TO!$B$6)</f>
        <v>Year Ending 31 December</v>
      </c>
      <c r="C46" s="148"/>
      <c r="D46" s="148"/>
      <c r="E46" s="148"/>
      <c r="F46" s="148"/>
      <c r="G46" s="148"/>
      <c r="H46" s="148"/>
      <c r="I46" s="148"/>
      <c r="J46" s="148"/>
      <c r="K46" s="148"/>
      <c r="L46" s="148"/>
      <c r="M46" s="148"/>
      <c r="N46" s="150" t="str">
        <f>IF(TS_Periodicity=Annual,IS_All_TO!J$7,IS_All_TO!J$6)</f>
        <v xml:space="preserve">2010 (A) </v>
      </c>
      <c r="O46" s="150" t="str">
        <f>IF(TS_Periodicity=Annual,IS_All_TO!K$7,IS_All_TO!K$6)</f>
        <v xml:space="preserve">2011 (A) </v>
      </c>
      <c r="P46" s="150" t="str">
        <f>IF(TS_Periodicity=Annual,IS_All_TO!L$7,IS_All_TO!L$6)</f>
        <v xml:space="preserve">2012 (A) </v>
      </c>
      <c r="Q46" s="150" t="str">
        <f>IF(TS_Periodicity=Annual,IS_All_TO!M$7,IS_All_TO!M$6)</f>
        <v xml:space="preserve">2013 (F) </v>
      </c>
      <c r="R46" s="150" t="str">
        <f>IF(TS_Periodicity=Annual,IS_All_TO!N$7,IS_All_TO!N$6)</f>
        <v xml:space="preserve">2014 (F) </v>
      </c>
      <c r="S46" s="150" t="str">
        <f>IF(TS_Periodicity=Annual,IS_All_TO!O$7,IS_All_TO!O$6)</f>
        <v xml:space="preserve">2015 (F) </v>
      </c>
      <c r="V46" s="322" t="s">
        <v>431</v>
      </c>
      <c r="W46" s="322"/>
      <c r="X46" s="322"/>
      <c r="Y46" s="322"/>
      <c r="Z46" s="322"/>
      <c r="AA46" s="322"/>
      <c r="AB46" s="322"/>
      <c r="AC46" s="322"/>
      <c r="AD46" s="322"/>
      <c r="AE46" s="322"/>
      <c r="AF46" s="322"/>
      <c r="AG46" s="322"/>
      <c r="AH46" s="322"/>
      <c r="AI46" s="322"/>
      <c r="AJ46" s="322"/>
      <c r="AK46" s="322"/>
      <c r="AL46" s="322"/>
      <c r="AM46" s="322"/>
      <c r="AQ46" s="5" t="str">
        <f>AQ20</f>
        <v>Cost of Goods Sold (Historical)</v>
      </c>
      <c r="AX46" s="95">
        <f>-AX20</f>
        <v>-25</v>
      </c>
      <c r="AY46" s="95">
        <f t="shared" ref="AY46:BE46" si="10">-AY20</f>
        <v>-25.624999999999996</v>
      </c>
      <c r="AZ46" s="95">
        <f t="shared" si="10"/>
        <v>-26.265624999999993</v>
      </c>
      <c r="BA46" s="95">
        <f t="shared" si="10"/>
        <v>0</v>
      </c>
      <c r="BB46" s="95">
        <f t="shared" si="10"/>
        <v>0</v>
      </c>
      <c r="BC46" s="95">
        <f t="shared" si="10"/>
        <v>0</v>
      </c>
      <c r="BD46" s="95">
        <f t="shared" si="10"/>
        <v>0</v>
      </c>
      <c r="BE46" s="95">
        <f t="shared" si="10"/>
        <v>0</v>
      </c>
    </row>
    <row r="47" spans="2:57">
      <c r="B47" s="148"/>
      <c r="C47" s="148"/>
      <c r="D47" s="148"/>
      <c r="E47" s="148"/>
      <c r="F47" s="148"/>
      <c r="G47" s="148"/>
      <c r="H47" s="148"/>
      <c r="I47" s="148"/>
      <c r="J47" s="148"/>
      <c r="K47" s="148"/>
      <c r="L47" s="148"/>
      <c r="M47" s="148"/>
      <c r="N47" s="148"/>
      <c r="O47" s="148"/>
      <c r="P47" s="148"/>
      <c r="Q47" s="148"/>
      <c r="R47" s="148"/>
      <c r="S47" s="148"/>
      <c r="V47" s="166"/>
      <c r="W47" s="166"/>
      <c r="X47" s="166"/>
      <c r="Y47" s="166"/>
      <c r="Z47" s="166"/>
      <c r="AA47" s="166"/>
      <c r="AB47" s="166"/>
      <c r="AC47" s="166"/>
      <c r="AD47" s="166"/>
      <c r="AE47" s="166"/>
      <c r="AF47" s="166"/>
      <c r="AG47" s="166"/>
      <c r="AH47" s="166"/>
      <c r="AI47" s="166"/>
      <c r="AJ47" s="166"/>
      <c r="AK47" s="166"/>
      <c r="AL47" s="166"/>
      <c r="AM47" s="166"/>
      <c r="AQ47" s="5" t="str">
        <f>AQ27</f>
        <v>Operating Expenditure (Historical)</v>
      </c>
      <c r="AX47" s="95">
        <f>-AX27</f>
        <v>-40</v>
      </c>
      <c r="AY47" s="95">
        <f t="shared" ref="AY47:BE47" si="11">-AY27</f>
        <v>-41</v>
      </c>
      <c r="AZ47" s="95">
        <f t="shared" si="11"/>
        <v>-42.024999999999999</v>
      </c>
      <c r="BA47" s="95">
        <f t="shared" si="11"/>
        <v>0</v>
      </c>
      <c r="BB47" s="95">
        <f t="shared" si="11"/>
        <v>0</v>
      </c>
      <c r="BC47" s="95">
        <f t="shared" si="11"/>
        <v>0</v>
      </c>
      <c r="BD47" s="95">
        <f t="shared" si="11"/>
        <v>0</v>
      </c>
      <c r="BE47" s="95">
        <f t="shared" si="11"/>
        <v>0</v>
      </c>
    </row>
    <row r="48" spans="2:57">
      <c r="B48" s="151" t="s">
        <v>238</v>
      </c>
      <c r="C48" s="148"/>
      <c r="D48" s="148"/>
      <c r="E48" s="148"/>
      <c r="F48" s="148"/>
      <c r="G48" s="148"/>
      <c r="H48" s="148"/>
      <c r="I48" s="148"/>
      <c r="J48" s="148"/>
      <c r="K48" s="148"/>
      <c r="L48" s="148"/>
      <c r="M48" s="148"/>
      <c r="N48" s="152">
        <f>CFS_All_TO!J22</f>
        <v>135.72602739726028</v>
      </c>
      <c r="O48" s="152">
        <f>CFS_All_TO!K22</f>
        <v>127.86815068493149</v>
      </c>
      <c r="P48" s="152">
        <f>CFS_All_TO!L22</f>
        <v>131.09434650797215</v>
      </c>
      <c r="Q48" s="152">
        <f ca="1">CFS_All_TO!M22</f>
        <v>134.31198375743881</v>
      </c>
      <c r="R48" s="152">
        <f>CFS_All_TO!N22</f>
        <v>137.70001270869005</v>
      </c>
      <c r="S48" s="152">
        <f>CFS_All_TO!O22</f>
        <v>141.1425130264073</v>
      </c>
      <c r="V48" s="166"/>
      <c r="W48" s="166"/>
      <c r="X48" s="166"/>
      <c r="Y48" s="166"/>
      <c r="Z48" s="166"/>
      <c r="AA48" s="166"/>
      <c r="AB48" s="166"/>
      <c r="AC48" s="166"/>
      <c r="AD48" s="166"/>
      <c r="AE48" s="166"/>
      <c r="AF48" s="166"/>
      <c r="AG48" s="166"/>
      <c r="AH48" s="166"/>
      <c r="AI48" s="166"/>
      <c r="AJ48" s="166"/>
      <c r="AK48" s="166"/>
      <c r="AL48" s="166"/>
      <c r="AM48" s="166"/>
      <c r="AQ48" s="5" t="str">
        <f>AQ14</f>
        <v>Revenue (Forecast)</v>
      </c>
      <c r="AX48" s="95">
        <f>AX14</f>
        <v>0</v>
      </c>
      <c r="AY48" s="95">
        <f t="shared" ref="AY48:BE48" si="12">AY14</f>
        <v>0</v>
      </c>
      <c r="AZ48" s="95">
        <f t="shared" si="12"/>
        <v>0</v>
      </c>
      <c r="BA48" s="95">
        <f t="shared" si="12"/>
        <v>134.611328125</v>
      </c>
      <c r="BB48" s="95">
        <f t="shared" si="12"/>
        <v>137.97661132812499</v>
      </c>
      <c r="BC48" s="95">
        <f t="shared" si="12"/>
        <v>141.4260266113281</v>
      </c>
      <c r="BD48" s="95">
        <f t="shared" si="12"/>
        <v>144.96167727661128</v>
      </c>
      <c r="BE48" s="95">
        <f t="shared" si="12"/>
        <v>148.58571920852654</v>
      </c>
    </row>
    <row r="49" spans="2:57">
      <c r="B49" s="151" t="s">
        <v>243</v>
      </c>
      <c r="C49" s="148"/>
      <c r="D49" s="148"/>
      <c r="E49" s="148"/>
      <c r="F49" s="148"/>
      <c r="G49" s="148"/>
      <c r="H49" s="148"/>
      <c r="I49" s="148"/>
      <c r="J49" s="148"/>
      <c r="K49" s="148"/>
      <c r="L49" s="148"/>
      <c r="M49" s="148"/>
      <c r="N49" s="152">
        <f>CFS_All_TO!J26</f>
        <v>-72.986301369863014</v>
      </c>
      <c r="O49" s="152">
        <f>CFS_All_TO!K26</f>
        <v>-66.424657534246577</v>
      </c>
      <c r="P49" s="152">
        <f>CFS_All_TO!L26</f>
        <v>-68.108277776218273</v>
      </c>
      <c r="Q49" s="152">
        <f ca="1">CFS_All_TO!M26</f>
        <v>-69.764402018302249</v>
      </c>
      <c r="R49" s="152">
        <f>CFS_All_TO!N26</f>
        <v>-71.532090967465734</v>
      </c>
      <c r="S49" s="152">
        <f>CFS_All_TO!O26</f>
        <v>-73.320393241652368</v>
      </c>
      <c r="V49" s="166"/>
      <c r="W49" s="166"/>
      <c r="X49" s="166"/>
      <c r="Y49" s="166"/>
      <c r="Z49" s="166"/>
      <c r="AA49" s="166"/>
      <c r="AB49" s="166"/>
      <c r="AC49" s="166"/>
      <c r="AD49" s="166"/>
      <c r="AE49" s="166"/>
      <c r="AF49" s="166"/>
      <c r="AG49" s="166"/>
      <c r="AH49" s="166"/>
      <c r="AI49" s="166"/>
      <c r="AJ49" s="166"/>
      <c r="AK49" s="166"/>
      <c r="AL49" s="166"/>
      <c r="AM49" s="166"/>
      <c r="AQ49" s="5" t="str">
        <f>AQ21</f>
        <v>Cost of Goods Sold (Forecast)</v>
      </c>
      <c r="AX49" s="95">
        <f>-AX21</f>
        <v>0</v>
      </c>
      <c r="AY49" s="95">
        <f t="shared" ref="AY49:BE49" si="13">-AY21</f>
        <v>0</v>
      </c>
      <c r="AZ49" s="95">
        <f t="shared" si="13"/>
        <v>0</v>
      </c>
      <c r="BA49" s="95">
        <f t="shared" si="13"/>
        <v>-26.922265624999991</v>
      </c>
      <c r="BB49" s="95">
        <f t="shared" si="13"/>
        <v>-27.59532226562499</v>
      </c>
      <c r="BC49" s="95">
        <f t="shared" si="13"/>
        <v>-28.285205322265611</v>
      </c>
      <c r="BD49" s="95">
        <f t="shared" si="13"/>
        <v>-28.992335455322248</v>
      </c>
      <c r="BE49" s="95">
        <f t="shared" si="13"/>
        <v>-29.717143841705301</v>
      </c>
    </row>
    <row r="50" spans="2:57">
      <c r="B50" s="151" t="s">
        <v>439</v>
      </c>
      <c r="C50" s="148"/>
      <c r="D50" s="148"/>
      <c r="E50" s="148"/>
      <c r="F50" s="148"/>
      <c r="G50" s="148"/>
      <c r="H50" s="148"/>
      <c r="I50" s="148"/>
      <c r="J50" s="148"/>
      <c r="K50" s="148"/>
      <c r="L50" s="148"/>
      <c r="M50" s="148"/>
      <c r="N50" s="152">
        <f>N51-SUM(N48:N49)</f>
        <v>-6.75</v>
      </c>
      <c r="O50" s="152">
        <f t="shared" ref="O50:S50" si="14">O51-SUM(O48:O49)</f>
        <v>-16.037500000000001</v>
      </c>
      <c r="P50" s="152">
        <f t="shared" si="14"/>
        <v>-16.381562500000001</v>
      </c>
      <c r="Q50" s="152">
        <f t="shared" ca="1" si="14"/>
        <v>-16.734226562500005</v>
      </c>
      <c r="R50" s="152">
        <f t="shared" ca="1" si="14"/>
        <v>-17.258207226562504</v>
      </c>
      <c r="S50" s="152">
        <f t="shared" ca="1" si="14"/>
        <v>-17.742474907226566</v>
      </c>
      <c r="V50" s="166"/>
      <c r="W50" s="166"/>
      <c r="X50" s="166"/>
      <c r="Y50" s="166"/>
      <c r="Z50" s="166"/>
      <c r="AA50" s="166"/>
      <c r="AB50" s="166"/>
      <c r="AC50" s="166"/>
      <c r="AD50" s="166"/>
      <c r="AE50" s="166"/>
      <c r="AF50" s="166"/>
      <c r="AG50" s="166"/>
      <c r="AH50" s="166"/>
      <c r="AI50" s="166"/>
      <c r="AJ50" s="166"/>
      <c r="AK50" s="166"/>
      <c r="AL50" s="166"/>
      <c r="AM50" s="166"/>
      <c r="AQ50" s="5" t="str">
        <f>AQ28</f>
        <v>Operating Expenditure (Forecast)</v>
      </c>
      <c r="AX50" s="95">
        <f>-AX28</f>
        <v>0</v>
      </c>
      <c r="AY50" s="95">
        <f t="shared" ref="AY50:BE50" si="15">-AY28</f>
        <v>0</v>
      </c>
      <c r="AZ50" s="95">
        <f t="shared" si="15"/>
        <v>0</v>
      </c>
      <c r="BA50" s="95">
        <f t="shared" si="15"/>
        <v>-43.075624999999995</v>
      </c>
      <c r="BB50" s="95">
        <f t="shared" si="15"/>
        <v>-44.152515624999992</v>
      </c>
      <c r="BC50" s="95">
        <f t="shared" si="15"/>
        <v>-45.256328515624986</v>
      </c>
      <c r="BD50" s="95">
        <f t="shared" si="15"/>
        <v>-46.387736728515605</v>
      </c>
      <c r="BE50" s="95">
        <f t="shared" si="15"/>
        <v>-47.547430146728495</v>
      </c>
    </row>
    <row r="51" spans="2:57">
      <c r="B51" s="155" t="s">
        <v>433</v>
      </c>
      <c r="C51" s="148"/>
      <c r="D51" s="148"/>
      <c r="E51" s="148"/>
      <c r="F51" s="148"/>
      <c r="G51" s="148"/>
      <c r="H51" s="148"/>
      <c r="I51" s="148"/>
      <c r="J51" s="148"/>
      <c r="K51" s="148"/>
      <c r="L51" s="148"/>
      <c r="M51" s="148"/>
      <c r="N51" s="156">
        <f>CFS_All_TO!J31</f>
        <v>55.989726027397268</v>
      </c>
      <c r="O51" s="156">
        <f>CFS_All_TO!K31</f>
        <v>45.405993150684914</v>
      </c>
      <c r="P51" s="156">
        <f>CFS_All_TO!L31</f>
        <v>46.604506231753874</v>
      </c>
      <c r="Q51" s="156">
        <f ca="1">CFS_All_TO!M31</f>
        <v>47.813355176636556</v>
      </c>
      <c r="R51" s="156">
        <f ca="1">CFS_All_TO!N31</f>
        <v>48.909714514661815</v>
      </c>
      <c r="S51" s="156">
        <f ca="1">CFS_All_TO!O31</f>
        <v>50.079644877528366</v>
      </c>
      <c r="V51" s="166"/>
      <c r="W51" s="166"/>
      <c r="X51" s="166"/>
      <c r="Y51" s="166"/>
      <c r="Z51" s="166"/>
      <c r="AA51" s="166"/>
      <c r="AB51" s="166"/>
      <c r="AC51" s="166"/>
      <c r="AD51" s="166"/>
      <c r="AE51" s="166"/>
      <c r="AF51" s="166"/>
      <c r="AG51" s="166"/>
      <c r="AH51" s="166"/>
      <c r="AI51" s="166"/>
      <c r="AJ51" s="166"/>
      <c r="AK51" s="166"/>
      <c r="AL51" s="166"/>
      <c r="AM51" s="166"/>
      <c r="AQ51" s="5" t="str">
        <f>IS_Fcast_TO!$C$25</f>
        <v>EBITDA</v>
      </c>
      <c r="AX51" s="95">
        <f>IS_Hist_TO!J25+IS_Fcast_TO!J25</f>
        <v>60</v>
      </c>
      <c r="AY51" s="95">
        <f>IS_Hist_TO!K25+IS_Fcast_TO!K25</f>
        <v>61.5</v>
      </c>
      <c r="AZ51" s="95">
        <f>IS_Hist_TO!L25+IS_Fcast_TO!L25</f>
        <v>63.037500000000001</v>
      </c>
      <c r="BA51" s="95">
        <f>IS_Hist_TO!M25+IS_Fcast_TO!M25</f>
        <v>64.613437500000003</v>
      </c>
      <c r="BB51" s="95">
        <f>IS_Hist_TO!N25+IS_Fcast_TO!N25</f>
        <v>66.22877343750001</v>
      </c>
      <c r="BC51" s="95">
        <f>IS_Hist_TO!O25+IS_Fcast_TO!O25</f>
        <v>67.884492773437501</v>
      </c>
      <c r="BD51" s="95">
        <f>IS_Hist_TO!P25+IS_Fcast_TO!P25</f>
        <v>69.58160509277343</v>
      </c>
      <c r="BE51" s="95">
        <f>IS_Hist_TO!Q25+IS_Fcast_TO!Q25</f>
        <v>71.321145220092745</v>
      </c>
    </row>
    <row r="52" spans="2:57">
      <c r="B52" s="148"/>
      <c r="C52" s="148"/>
      <c r="D52" s="148"/>
      <c r="E52" s="148"/>
      <c r="F52" s="148"/>
      <c r="G52" s="148"/>
      <c r="H52" s="148"/>
      <c r="I52" s="148"/>
      <c r="J52" s="148"/>
      <c r="K52" s="148"/>
      <c r="L52" s="148"/>
      <c r="M52" s="148"/>
      <c r="N52" s="152"/>
      <c r="O52" s="152"/>
      <c r="P52" s="152"/>
      <c r="Q52" s="152"/>
      <c r="R52" s="152"/>
      <c r="S52" s="152"/>
      <c r="V52" s="166"/>
      <c r="W52" s="166"/>
      <c r="X52" s="166"/>
      <c r="Y52" s="166"/>
      <c r="Z52" s="166"/>
      <c r="AA52" s="166"/>
      <c r="AB52" s="166"/>
      <c r="AC52" s="166"/>
      <c r="AD52" s="166"/>
      <c r="AE52" s="166"/>
      <c r="AF52" s="166"/>
      <c r="AG52" s="166"/>
      <c r="AH52" s="166"/>
      <c r="AI52" s="166"/>
      <c r="AJ52" s="166"/>
      <c r="AK52" s="166"/>
      <c r="AL52" s="166"/>
      <c r="AM52" s="166"/>
    </row>
    <row r="53" spans="2:57">
      <c r="B53" s="151" t="s">
        <v>237</v>
      </c>
      <c r="C53" s="148"/>
      <c r="D53" s="148"/>
      <c r="E53" s="148"/>
      <c r="F53" s="148"/>
      <c r="G53" s="148"/>
      <c r="H53" s="148"/>
      <c r="I53" s="148"/>
      <c r="J53" s="148"/>
      <c r="K53" s="148"/>
      <c r="L53" s="148"/>
      <c r="M53" s="148"/>
      <c r="N53" s="152">
        <f>SUM(CFS_All_TO!J35:J36)</f>
        <v>-17.5</v>
      </c>
      <c r="O53" s="152">
        <f>SUM(CFS_All_TO!K35:K36)</f>
        <v>-17.9375</v>
      </c>
      <c r="P53" s="152">
        <f>SUM(CFS_All_TO!L35:L36)</f>
        <v>-18.385937499999997</v>
      </c>
      <c r="Q53" s="152">
        <f>SUM(CFS_All_TO!M35:M36)</f>
        <v>-18.845585937499994</v>
      </c>
      <c r="R53" s="152">
        <f>SUM(CFS_All_TO!N35:N36)</f>
        <v>-19.31672558593749</v>
      </c>
      <c r="S53" s="152">
        <f>SUM(CFS_All_TO!O35:O36)</f>
        <v>-19.799643725585927</v>
      </c>
      <c r="V53" s="166"/>
      <c r="W53" s="166"/>
      <c r="X53" s="166"/>
      <c r="Y53" s="166"/>
      <c r="Z53" s="166"/>
      <c r="AA53" s="166"/>
      <c r="AB53" s="166"/>
      <c r="AC53" s="166"/>
      <c r="AD53" s="166"/>
      <c r="AE53" s="166"/>
      <c r="AF53" s="166"/>
      <c r="AG53" s="166"/>
      <c r="AH53" s="166"/>
      <c r="AI53" s="166"/>
      <c r="AJ53" s="166"/>
      <c r="AK53" s="166"/>
      <c r="AL53" s="166"/>
      <c r="AM53" s="166"/>
    </row>
    <row r="54" spans="2:57">
      <c r="B54" s="151" t="s">
        <v>497</v>
      </c>
      <c r="C54" s="148"/>
      <c r="D54" s="148"/>
      <c r="E54" s="148"/>
      <c r="F54" s="148"/>
      <c r="G54" s="148"/>
      <c r="H54" s="148"/>
      <c r="I54" s="148"/>
      <c r="J54" s="148"/>
      <c r="K54" s="148"/>
      <c r="L54" s="148"/>
      <c r="M54" s="148"/>
      <c r="N54" s="152">
        <f>SUM(CFS_All_TO!J37:J38)</f>
        <v>0</v>
      </c>
      <c r="O54" s="152">
        <f>SUM(CFS_All_TO!K37:K38)</f>
        <v>0</v>
      </c>
      <c r="P54" s="152">
        <f>SUM(CFS_All_TO!L37:L38)</f>
        <v>0</v>
      </c>
      <c r="Q54" s="152">
        <f ca="1">SUM(CFS_All_TO!M37:M38)</f>
        <v>0</v>
      </c>
      <c r="R54" s="152">
        <f>SUM(CFS_All_TO!N37:N38)</f>
        <v>0</v>
      </c>
      <c r="S54" s="152">
        <f>SUM(CFS_All_TO!O37:O38)</f>
        <v>0</v>
      </c>
      <c r="V54" s="166"/>
      <c r="W54" s="166"/>
      <c r="X54" s="166"/>
      <c r="Y54" s="166"/>
      <c r="Z54" s="166"/>
      <c r="AA54" s="166"/>
      <c r="AB54" s="166"/>
      <c r="AC54" s="166"/>
      <c r="AD54" s="166"/>
      <c r="AE54" s="166"/>
      <c r="AF54" s="166"/>
      <c r="AG54" s="166"/>
      <c r="AH54" s="166"/>
      <c r="AI54" s="166"/>
      <c r="AJ54" s="166"/>
      <c r="AK54" s="166"/>
      <c r="AL54" s="166"/>
      <c r="AM54" s="166"/>
    </row>
    <row r="55" spans="2:57">
      <c r="B55" s="155" t="s">
        <v>434</v>
      </c>
      <c r="C55" s="148"/>
      <c r="D55" s="148"/>
      <c r="E55" s="148"/>
      <c r="F55" s="148"/>
      <c r="G55" s="148"/>
      <c r="H55" s="148"/>
      <c r="I55" s="148"/>
      <c r="J55" s="148"/>
      <c r="K55" s="148"/>
      <c r="L55" s="148"/>
      <c r="M55" s="148"/>
      <c r="N55" s="156">
        <f>SUM(N53:N54)</f>
        <v>-17.5</v>
      </c>
      <c r="O55" s="156">
        <f t="shared" ref="O55:S55" si="16">SUM(O53:O54)</f>
        <v>-17.9375</v>
      </c>
      <c r="P55" s="156">
        <f t="shared" si="16"/>
        <v>-18.385937499999997</v>
      </c>
      <c r="Q55" s="156">
        <f t="shared" ca="1" si="16"/>
        <v>-18.845585937499994</v>
      </c>
      <c r="R55" s="156">
        <f t="shared" si="16"/>
        <v>-19.31672558593749</v>
      </c>
      <c r="S55" s="156">
        <f t="shared" si="16"/>
        <v>-19.799643725585927</v>
      </c>
      <c r="V55" s="166"/>
      <c r="W55" s="166"/>
      <c r="X55" s="166"/>
      <c r="Y55" s="166"/>
      <c r="Z55" s="166"/>
      <c r="AA55" s="166"/>
      <c r="AB55" s="166"/>
      <c r="AC55" s="166"/>
      <c r="AD55" s="166"/>
      <c r="AE55" s="166"/>
      <c r="AF55" s="166"/>
      <c r="AG55" s="166"/>
      <c r="AH55" s="166"/>
      <c r="AI55" s="166"/>
      <c r="AJ55" s="166"/>
      <c r="AK55" s="166"/>
      <c r="AL55" s="166"/>
      <c r="AM55" s="166"/>
    </row>
    <row r="56" spans="2:57">
      <c r="B56" s="148"/>
      <c r="C56" s="148"/>
      <c r="D56" s="148"/>
      <c r="E56" s="148"/>
      <c r="F56" s="148"/>
      <c r="G56" s="148"/>
      <c r="H56" s="148"/>
      <c r="I56" s="148"/>
      <c r="J56" s="148"/>
      <c r="K56" s="148"/>
      <c r="L56" s="148"/>
      <c r="M56" s="148"/>
      <c r="N56" s="152"/>
      <c r="O56" s="152"/>
      <c r="P56" s="152"/>
      <c r="Q56" s="152"/>
      <c r="R56" s="152"/>
      <c r="S56" s="152"/>
      <c r="V56" s="166"/>
      <c r="W56" s="166"/>
      <c r="X56" s="166"/>
      <c r="Y56" s="166"/>
      <c r="Z56" s="166"/>
      <c r="AA56" s="166"/>
      <c r="AB56" s="166"/>
      <c r="AC56" s="166"/>
      <c r="AD56" s="166"/>
      <c r="AE56" s="166"/>
      <c r="AF56" s="166"/>
      <c r="AG56" s="166"/>
      <c r="AH56" s="166"/>
      <c r="AI56" s="166"/>
      <c r="AJ56" s="166"/>
      <c r="AK56" s="166"/>
      <c r="AL56" s="166"/>
      <c r="AM56" s="166"/>
    </row>
    <row r="57" spans="2:57">
      <c r="B57" s="151" t="s">
        <v>435</v>
      </c>
      <c r="C57" s="148"/>
      <c r="D57" s="148"/>
      <c r="E57" s="148"/>
      <c r="F57" s="148"/>
      <c r="G57" s="148"/>
      <c r="H57" s="148"/>
      <c r="I57" s="148"/>
      <c r="J57" s="148"/>
      <c r="K57" s="148"/>
      <c r="L57" s="148"/>
      <c r="M57" s="148"/>
      <c r="N57" s="152">
        <f>SUM(CFS_All_TO!J43:J44)</f>
        <v>0</v>
      </c>
      <c r="O57" s="152">
        <f>SUM(CFS_All_TO!K43:K44)</f>
        <v>0</v>
      </c>
      <c r="P57" s="152">
        <f>SUM(CFS_All_TO!L43:L44)</f>
        <v>0</v>
      </c>
      <c r="Q57" s="152">
        <f>SUM(CFS_All_TO!M43:M44)</f>
        <v>0</v>
      </c>
      <c r="R57" s="152">
        <f>SUM(CFS_All_TO!N43:N44)</f>
        <v>5</v>
      </c>
      <c r="S57" s="152">
        <f>SUM(CFS_All_TO!O43:O44)</f>
        <v>0</v>
      </c>
      <c r="V57" s="166"/>
      <c r="W57" s="166"/>
      <c r="X57" s="166"/>
      <c r="Y57" s="166"/>
      <c r="Z57" s="166"/>
      <c r="AA57" s="166"/>
      <c r="AB57" s="166"/>
      <c r="AC57" s="166"/>
      <c r="AD57" s="166"/>
      <c r="AE57" s="166"/>
      <c r="AF57" s="166"/>
      <c r="AG57" s="166"/>
      <c r="AH57" s="166"/>
      <c r="AI57" s="166"/>
      <c r="AJ57" s="166"/>
      <c r="AK57" s="166"/>
      <c r="AL57" s="166"/>
      <c r="AM57" s="166"/>
    </row>
    <row r="58" spans="2:57">
      <c r="B58" s="151" t="s">
        <v>436</v>
      </c>
      <c r="C58" s="148"/>
      <c r="D58" s="148"/>
      <c r="E58" s="148"/>
      <c r="F58" s="148"/>
      <c r="G58" s="148"/>
      <c r="H58" s="148"/>
      <c r="I58" s="148"/>
      <c r="J58" s="148"/>
      <c r="K58" s="148"/>
      <c r="L58" s="148"/>
      <c r="M58" s="148"/>
      <c r="N58" s="152">
        <f>SUM(CFS_All_TO!J45:J46)</f>
        <v>0</v>
      </c>
      <c r="O58" s="152">
        <f>SUM(CFS_All_TO!K45:K46)</f>
        <v>0</v>
      </c>
      <c r="P58" s="152">
        <f>SUM(CFS_All_TO!L45:L46)</f>
        <v>0</v>
      </c>
      <c r="Q58" s="152">
        <f>SUM(CFS_All_TO!M45:M46)</f>
        <v>0</v>
      </c>
      <c r="R58" s="152">
        <f>SUM(CFS_All_TO!N45:N46)</f>
        <v>0</v>
      </c>
      <c r="S58" s="152">
        <f>SUM(CFS_All_TO!O45:O46)</f>
        <v>0</v>
      </c>
      <c r="V58" s="166"/>
      <c r="W58" s="166"/>
      <c r="X58" s="166"/>
      <c r="Y58" s="166"/>
      <c r="Z58" s="166"/>
      <c r="AA58" s="166"/>
      <c r="AB58" s="166"/>
      <c r="AC58" s="166"/>
      <c r="AD58" s="166"/>
      <c r="AE58" s="166"/>
      <c r="AF58" s="166"/>
      <c r="AG58" s="166"/>
      <c r="AH58" s="166"/>
      <c r="AI58" s="166"/>
      <c r="AJ58" s="166"/>
      <c r="AK58" s="166"/>
      <c r="AL58" s="166"/>
      <c r="AM58" s="166"/>
    </row>
    <row r="59" spans="2:57">
      <c r="B59" s="151" t="s">
        <v>437</v>
      </c>
      <c r="C59" s="148"/>
      <c r="D59" s="148"/>
      <c r="E59" s="148"/>
      <c r="F59" s="148"/>
      <c r="G59" s="148"/>
      <c r="H59" s="148"/>
      <c r="I59" s="148"/>
      <c r="J59" s="148"/>
      <c r="K59" s="148"/>
      <c r="L59" s="148"/>
      <c r="M59" s="148"/>
      <c r="N59" s="152">
        <f>CFS_All_TO!J47</f>
        <v>-14.918749999999999</v>
      </c>
      <c r="O59" s="152">
        <f>CFS_All_TO!K47</f>
        <v>-15.32015625</v>
      </c>
      <c r="P59" s="152">
        <f>CFS_All_TO!L47</f>
        <v>-15.731597656250003</v>
      </c>
      <c r="Q59" s="152">
        <f ca="1">CFS_All_TO!M47</f>
        <v>-16.153325097656253</v>
      </c>
      <c r="R59" s="152">
        <f ca="1">CFS_All_TO!N47</f>
        <v>-16.528720725097664</v>
      </c>
      <c r="S59" s="152">
        <f ca="1">CFS_All_TO!O47</f>
        <v>-16.914923118225101</v>
      </c>
      <c r="V59" s="166"/>
      <c r="W59" s="166"/>
      <c r="X59" s="166"/>
      <c r="Y59" s="166"/>
      <c r="Z59" s="166"/>
      <c r="AA59" s="166"/>
      <c r="AB59" s="166"/>
      <c r="AC59" s="166"/>
      <c r="AD59" s="166"/>
      <c r="AE59" s="166"/>
      <c r="AF59" s="166"/>
      <c r="AG59" s="166"/>
      <c r="AH59" s="166"/>
      <c r="AI59" s="166"/>
      <c r="AJ59" s="166"/>
      <c r="AK59" s="166"/>
      <c r="AL59" s="166"/>
      <c r="AM59" s="166"/>
    </row>
    <row r="60" spans="2:57">
      <c r="B60" s="151" t="s">
        <v>565</v>
      </c>
      <c r="C60" s="148"/>
      <c r="D60" s="148"/>
      <c r="E60" s="148"/>
      <c r="F60" s="148"/>
      <c r="G60" s="148"/>
      <c r="H60" s="148"/>
      <c r="I60" s="148"/>
      <c r="J60" s="148"/>
      <c r="K60" s="148"/>
      <c r="L60" s="148"/>
      <c r="M60" s="148"/>
      <c r="N60" s="152">
        <f>CFS_All_TO!J48</f>
        <v>0.1</v>
      </c>
      <c r="O60" s="152">
        <f>CFS_All_TO!K48</f>
        <v>0.1</v>
      </c>
      <c r="P60" s="152">
        <f>CFS_All_TO!L48</f>
        <v>0.1</v>
      </c>
      <c r="Q60" s="152">
        <f ca="1">CFS_All_TO!M48</f>
        <v>0.39999999999999858</v>
      </c>
      <c r="R60" s="152">
        <f>CFS_All_TO!N48</f>
        <v>9.9999999999999645E-2</v>
      </c>
      <c r="S60" s="152">
        <f>CFS_All_TO!O48</f>
        <v>9.9999999999999645E-2</v>
      </c>
      <c r="V60" s="166"/>
      <c r="W60" s="166"/>
      <c r="X60" s="166"/>
      <c r="Y60" s="166"/>
      <c r="Z60" s="166"/>
      <c r="AA60" s="166"/>
      <c r="AB60" s="166"/>
      <c r="AC60" s="166"/>
      <c r="AD60" s="166"/>
      <c r="AE60" s="166"/>
      <c r="AF60" s="166"/>
      <c r="AG60" s="166"/>
      <c r="AH60" s="166"/>
      <c r="AI60" s="166"/>
      <c r="AJ60" s="166"/>
      <c r="AK60" s="166"/>
      <c r="AL60" s="166"/>
      <c r="AM60" s="166"/>
    </row>
    <row r="61" spans="2:57">
      <c r="B61" s="155" t="s">
        <v>438</v>
      </c>
      <c r="C61" s="148"/>
      <c r="D61" s="148"/>
      <c r="E61" s="148"/>
      <c r="F61" s="148"/>
      <c r="G61" s="148"/>
      <c r="H61" s="148"/>
      <c r="I61" s="148"/>
      <c r="J61" s="148"/>
      <c r="K61" s="148"/>
      <c r="L61" s="148"/>
      <c r="M61" s="148"/>
      <c r="N61" s="156">
        <f>SUM(N57:N60)</f>
        <v>-14.81875</v>
      </c>
      <c r="O61" s="156">
        <f t="shared" ref="O61:S61" si="17">SUM(O57:O60)</f>
        <v>-15.22015625</v>
      </c>
      <c r="P61" s="156">
        <f t="shared" si="17"/>
        <v>-15.631597656250003</v>
      </c>
      <c r="Q61" s="156">
        <f t="shared" ca="1" si="17"/>
        <v>-15.753325097656255</v>
      </c>
      <c r="R61" s="156">
        <f t="shared" ca="1" si="17"/>
        <v>-11.428720725097664</v>
      </c>
      <c r="S61" s="156">
        <f t="shared" ca="1" si="17"/>
        <v>-16.814923118225103</v>
      </c>
      <c r="V61" s="166"/>
      <c r="W61" s="166"/>
      <c r="X61" s="166"/>
      <c r="Y61" s="166"/>
      <c r="Z61" s="166"/>
      <c r="AA61" s="166"/>
      <c r="AB61" s="166"/>
      <c r="AC61" s="166"/>
      <c r="AD61" s="166"/>
      <c r="AE61" s="166"/>
      <c r="AF61" s="166"/>
      <c r="AG61" s="166"/>
      <c r="AH61" s="166"/>
      <c r="AI61" s="166"/>
      <c r="AJ61" s="166"/>
      <c r="AK61" s="166"/>
      <c r="AL61" s="166"/>
      <c r="AM61" s="166"/>
    </row>
    <row r="62" spans="2:57">
      <c r="B62" s="148"/>
      <c r="C62" s="148"/>
      <c r="D62" s="148"/>
      <c r="E62" s="148"/>
      <c r="F62" s="148"/>
      <c r="G62" s="148"/>
      <c r="H62" s="148"/>
      <c r="I62" s="148"/>
      <c r="J62" s="148"/>
      <c r="K62" s="148"/>
      <c r="L62" s="148"/>
      <c r="M62" s="148"/>
      <c r="N62" s="152"/>
      <c r="O62" s="152"/>
      <c r="P62" s="152"/>
      <c r="Q62" s="152"/>
      <c r="R62" s="152"/>
      <c r="S62" s="152"/>
      <c r="V62" s="166"/>
      <c r="W62" s="166"/>
      <c r="X62" s="166"/>
      <c r="Y62" s="166"/>
      <c r="Z62" s="166"/>
      <c r="AA62" s="166"/>
      <c r="AB62" s="166"/>
      <c r="AC62" s="166"/>
      <c r="AD62" s="166"/>
      <c r="AE62" s="166"/>
      <c r="AF62" s="166"/>
      <c r="AG62" s="166"/>
      <c r="AH62" s="166"/>
      <c r="AI62" s="166"/>
      <c r="AJ62" s="166"/>
      <c r="AK62" s="166"/>
      <c r="AL62" s="166"/>
      <c r="AM62" s="166"/>
    </row>
    <row r="63" spans="2:57" ht="11.25" thickBot="1">
      <c r="B63" s="155" t="s">
        <v>440</v>
      </c>
      <c r="C63" s="148"/>
      <c r="D63" s="148"/>
      <c r="E63" s="148"/>
      <c r="F63" s="148"/>
      <c r="G63" s="148"/>
      <c r="H63" s="148"/>
      <c r="I63" s="148"/>
      <c r="J63" s="148"/>
      <c r="K63" s="148"/>
      <c r="L63" s="148"/>
      <c r="M63" s="148"/>
      <c r="N63" s="154">
        <f t="shared" ref="N63:S63" si="18">N51+N55+N61</f>
        <v>23.670976027397266</v>
      </c>
      <c r="O63" s="154">
        <f t="shared" si="18"/>
        <v>12.248336900684913</v>
      </c>
      <c r="P63" s="154">
        <f t="shared" si="18"/>
        <v>12.586971075503874</v>
      </c>
      <c r="Q63" s="154">
        <f t="shared" ca="1" si="18"/>
        <v>13.214444141480307</v>
      </c>
      <c r="R63" s="154">
        <f t="shared" ca="1" si="18"/>
        <v>18.164268203626662</v>
      </c>
      <c r="S63" s="154">
        <f t="shared" ca="1" si="18"/>
        <v>13.465078033717337</v>
      </c>
      <c r="V63" s="166"/>
      <c r="W63" s="166"/>
      <c r="X63" s="166"/>
      <c r="Y63" s="166"/>
      <c r="Z63" s="166"/>
      <c r="AA63" s="166"/>
      <c r="AB63" s="166"/>
      <c r="AC63" s="166"/>
      <c r="AD63" s="166"/>
      <c r="AE63" s="166"/>
      <c r="AF63" s="166"/>
      <c r="AG63" s="166"/>
      <c r="AH63" s="166"/>
      <c r="AI63" s="166"/>
      <c r="AJ63" s="166"/>
      <c r="AK63" s="166"/>
      <c r="AL63" s="166"/>
      <c r="AM63" s="166"/>
    </row>
    <row r="64" spans="2:57" ht="11.25" thickTop="1">
      <c r="V64" s="166"/>
      <c r="W64" s="166"/>
      <c r="X64" s="166"/>
      <c r="Y64" s="166"/>
      <c r="Z64" s="166"/>
      <c r="AA64" s="166"/>
      <c r="AB64" s="166"/>
      <c r="AC64" s="166"/>
      <c r="AD64" s="166"/>
      <c r="AE64" s="166"/>
      <c r="AF64" s="166"/>
      <c r="AG64" s="166"/>
      <c r="AH64" s="166"/>
      <c r="AI64" s="166"/>
      <c r="AJ64" s="166"/>
      <c r="AK64" s="166"/>
      <c r="AL64" s="166"/>
      <c r="AM64" s="166"/>
    </row>
    <row r="74" spans="43:50">
      <c r="AQ74" s="5"/>
      <c r="AX74" s="94"/>
    </row>
  </sheetData>
  <mergeCells count="17">
    <mergeCell ref="BB35:BB36"/>
    <mergeCell ref="AY35:AY36"/>
    <mergeCell ref="AX35:AX36"/>
    <mergeCell ref="B4:C4"/>
    <mergeCell ref="D4:E4"/>
    <mergeCell ref="F4:G4"/>
    <mergeCell ref="H4:I4"/>
    <mergeCell ref="J4:K4"/>
    <mergeCell ref="V7:AM7"/>
    <mergeCell ref="B24:S24"/>
    <mergeCell ref="V26:AM26"/>
    <mergeCell ref="V46:AM46"/>
    <mergeCell ref="B7:S7"/>
    <mergeCell ref="B3:K3"/>
    <mergeCell ref="AZ35:AZ36"/>
    <mergeCell ref="BA35:BA36"/>
    <mergeCell ref="B44:S44"/>
  </mergeCells>
  <dataValidations count="1">
    <dataValidation type="whole" showDropDown="1" showErrorMessage="1" errorTitle="0 Cell Link" error="The value in a 0 cell link must be a whole number within the control's lookup range rows." sqref="AU34">
      <formula1>1</formula1>
      <formula2>ROWS(LU_Dashboard_Selected_Period )</formula2>
    </dataValidation>
  </dataValidations>
  <hyperlinks>
    <hyperlink ref="B3" location="HL_Home" tooltip="Go to Table of Contents" display="HL_Home"/>
    <hyperlink ref="A4" location="$B$5" tooltip="Go to Top of Sheet" display="$B$5"/>
    <hyperlink ref="D4" location="HL_Sheet_Main_39" tooltip="Go to Next Sheet" display="HL_Sheet_Main_39"/>
    <hyperlink ref="B4" location="HL_Sheet_Main_20" tooltip="Go to Previous Sheet" display="HL_Sheet_Main_20"/>
    <hyperlink ref="F4" location="HL_Err_Chk" tooltip="Go to Error Checks" display="HL_Err_Chk"/>
    <hyperlink ref="H4" location="HL_Sens_Chk" tooltip="Go to Sensitivity Checks" display="HL_Sens_Chk"/>
    <hyperlink ref="J4" location="HL_Alt_Chk" tooltip="Go to Alert Checks" display="HL_Alt_Chk"/>
  </hyperlinks>
  <pageMargins left="0.39370078740157483" right="0.39370078740157483" top="0.59055118110236227" bottom="0.98425196850393704" header="0" footer="0.31496062992125984"/>
  <pageSetup paperSize="8" orientation="landscape" horizontalDpi="300" verticalDpi="300" r:id="rId1"/>
  <headerFooter>
    <oddFooter>&amp;L&amp;F
&amp;A
Printed: &amp;T on &amp;D&amp;CPage &amp;P of &amp;N</oddFooter>
  </headerFooter>
  <drawing r:id="rId2"/>
  <legacyDrawing r:id="rId3"/>
  <legacyDrawingHF r:id="rId4"/>
</worksheet>
</file>

<file path=xl/worksheets/sheet33.xml><?xml version="1.0" encoding="utf-8"?>
<worksheet xmlns="http://schemas.openxmlformats.org/spreadsheetml/2006/main" xmlns:r="http://schemas.openxmlformats.org/officeDocument/2006/relationships">
  <sheetPr codeName="Sheet31">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188</v>
      </c>
    </row>
    <row r="10" spans="3:7" ht="16.5">
      <c r="C10" s="27" t="s">
        <v>201</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460</v>
      </c>
    </row>
    <row r="18" spans="3:3">
      <c r="C18" s="26" t="s">
        <v>292</v>
      </c>
    </row>
    <row r="19" spans="3:3">
      <c r="C19" s="26" t="s">
        <v>293</v>
      </c>
    </row>
    <row r="20" spans="3:3">
      <c r="C20" s="26" t="s">
        <v>294</v>
      </c>
    </row>
  </sheetData>
  <mergeCells count="1">
    <mergeCell ref="C12:G12"/>
  </mergeCells>
  <hyperlinks>
    <hyperlink ref="C12" location="HL_Home" tooltip="Go to Table of Contents" display="HL_Home"/>
    <hyperlink ref="C13" location="HL_Sheet_Main_19" tooltip="Go to Previous Sheet" display="HL_Sheet_Main_19"/>
    <hyperlink ref="D13" location="HL_Sheet_Main_13" tooltip="Go to Next Sheet" display="HL_Sheet_Main_13"/>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4.xml><?xml version="1.0" encoding="utf-8"?>
<worksheet xmlns="http://schemas.openxmlformats.org/spreadsheetml/2006/main" xmlns:r="http://schemas.openxmlformats.org/officeDocument/2006/relationships">
  <sheetPr codeName="Sheet32">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189</v>
      </c>
    </row>
    <row r="10" spans="3:7" ht="16.5">
      <c r="C10" s="27" t="s">
        <v>514</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461</v>
      </c>
    </row>
    <row r="18" spans="3:3">
      <c r="C18" s="26" t="s">
        <v>393</v>
      </c>
    </row>
    <row r="19" spans="3:3">
      <c r="C19" s="26"/>
    </row>
    <row r="20" spans="3:3">
      <c r="C20" s="26"/>
    </row>
  </sheetData>
  <mergeCells count="1">
    <mergeCell ref="C12:G12"/>
  </mergeCells>
  <hyperlinks>
    <hyperlink ref="C12" location="HL_Home" tooltip="Go to Table of Contents" display="HL_Home"/>
    <hyperlink ref="C13" location="HL_Sheet_Main_39" tooltip="Go to Previous Sheet" display="HL_Sheet_Main_39"/>
    <hyperlink ref="D13" location="HL_Sheet_Main_14" tooltip="Go to Next Sheet" display="HL_Sheet_Main_1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5.xml><?xml version="1.0" encoding="utf-8"?>
<worksheet xmlns="http://schemas.openxmlformats.org/spreadsheetml/2006/main" xmlns:r="http://schemas.openxmlformats.org/officeDocument/2006/relationships">
  <sheetPr codeName="Sheet33">
    <pageSetUpPr autoPageBreaks="0"/>
  </sheetPr>
  <dimension ref="A1:M66"/>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9" ht="18">
      <c r="B1" s="1" t="s">
        <v>189</v>
      </c>
    </row>
    <row r="2" spans="1:9" ht="15">
      <c r="B2" s="2" t="str">
        <f ca="1">Model_Name</f>
        <v>SMA 5. Assumption Entry Interfaces - Best Practice Model Example</v>
      </c>
    </row>
    <row r="3" spans="1:9">
      <c r="B3" s="272" t="s">
        <v>48</v>
      </c>
      <c r="C3" s="272"/>
      <c r="D3" s="272"/>
      <c r="E3" s="272"/>
      <c r="F3" s="272"/>
    </row>
    <row r="4" spans="1:9" ht="12.75">
      <c r="A4" s="10" t="s">
        <v>51</v>
      </c>
      <c r="B4" s="11" t="s">
        <v>53</v>
      </c>
      <c r="C4" s="12" t="s">
        <v>102</v>
      </c>
      <c r="D4" s="265" t="s">
        <v>205</v>
      </c>
      <c r="E4" s="265" t="s">
        <v>206</v>
      </c>
      <c r="F4" s="13" t="s">
        <v>207</v>
      </c>
    </row>
    <row r="7" spans="1:9" ht="12.75">
      <c r="B7" s="32" t="s">
        <v>225</v>
      </c>
    </row>
    <row r="9" spans="1:9" ht="17.25" customHeight="1">
      <c r="C9" s="67" t="b">
        <v>1</v>
      </c>
    </row>
    <row r="11" spans="1:9" ht="11.25">
      <c r="C11" s="33" t="s">
        <v>226</v>
      </c>
    </row>
    <row r="13" spans="1:9">
      <c r="D13" s="72" t="str">
        <f>D29</f>
        <v>Total Errors:</v>
      </c>
      <c r="I13" s="74">
        <f ca="1">Err_Chks_Ttl_Areas</f>
        <v>0</v>
      </c>
    </row>
    <row r="14" spans="1:9">
      <c r="D14" s="75" t="s">
        <v>229</v>
      </c>
      <c r="I14" s="76" t="str">
        <f ca="1">IF(OR(NOT(CB_Err_Chks_Show_Msg),Err_Chks_Ttl_Areas=0),"",IF(Err_Chks_Ttl_Areas=1," (Error in "&amp;INDEX(CA_Err_Chks_Area_Names,MATCH(1,CA_Err_Chks_Flags,0))&amp;")"," ("&amp;TEXT(Err_Chks_Ttl_Areas,"#,##0")&amp;" Errors Detected)"))</f>
        <v/>
      </c>
    </row>
    <row r="16" spans="1:9" ht="11.25">
      <c r="C16" s="33" t="s">
        <v>225</v>
      </c>
    </row>
    <row r="18" spans="2:13">
      <c r="D18" s="68" t="s">
        <v>225</v>
      </c>
      <c r="E18" s="17"/>
      <c r="F18" s="17"/>
      <c r="G18" s="17"/>
      <c r="H18" s="17"/>
      <c r="I18" s="17"/>
      <c r="J18" s="17"/>
      <c r="K18" s="69" t="s">
        <v>227</v>
      </c>
      <c r="L18" s="69" t="s">
        <v>228</v>
      </c>
      <c r="M18" s="69" t="s">
        <v>388</v>
      </c>
    </row>
    <row r="19" spans="2:13" s="15" customFormat="1">
      <c r="D19" s="77"/>
      <c r="E19" s="21"/>
      <c r="F19" s="21"/>
      <c r="G19" s="21"/>
      <c r="H19" s="21"/>
      <c r="I19" s="21"/>
      <c r="J19" s="21"/>
      <c r="K19" s="78"/>
      <c r="L19" s="78"/>
      <c r="M19" s="78"/>
    </row>
    <row r="20" spans="2:13">
      <c r="D20" s="259" t="str">
        <f>IF(ISERROR(Err_Chk_1_Hdg),"Miscellaneous Check",Err_Chk_1_Hdg)</f>
        <v>Accounts Receivable Balances ($Millions)</v>
      </c>
      <c r="E20" s="8"/>
      <c r="F20" s="8"/>
      <c r="G20" s="8"/>
      <c r="H20" s="8"/>
      <c r="I20" s="8"/>
      <c r="J20" s="8"/>
      <c r="K20" s="73">
        <f ca="1">IF(ISERROR(HL_Err_Chk_1),1,(HL_Err_Chk_1&lt;&gt;0)*1)</f>
        <v>0</v>
      </c>
      <c r="L20" s="66" t="s">
        <v>86</v>
      </c>
      <c r="M20" s="70">
        <f t="shared" ref="M20:M27" ca="1" si="0">K20*(L20="Yes")</f>
        <v>0</v>
      </c>
    </row>
    <row r="21" spans="2:13" s="15" customFormat="1">
      <c r="D21" s="259" t="str">
        <f>IF(ISERROR(Err_Chk_2_Hdg),"Miscellaneous Check",Err_Chk_2_Hdg)</f>
        <v>Accounts Payable Balances ($Millions)</v>
      </c>
      <c r="E21" s="8"/>
      <c r="F21" s="8"/>
      <c r="G21" s="8"/>
      <c r="H21" s="8"/>
      <c r="I21" s="8"/>
      <c r="J21" s="8"/>
      <c r="K21" s="73">
        <f ca="1">IF(ISERROR(HL_Err_Chk_2),1,(HL_Err_Chk_2&lt;&gt;0)*1)</f>
        <v>0</v>
      </c>
      <c r="L21" s="66" t="s">
        <v>86</v>
      </c>
      <c r="M21" s="70">
        <f t="shared" ca="1" si="0"/>
        <v>0</v>
      </c>
    </row>
    <row r="22" spans="2:13" s="15" customFormat="1">
      <c r="D22" s="259" t="str">
        <f>IF(ISERROR(Err_Chk_3_Hdg),"Miscellaneous Check",Err_Chk_3_Hdg)</f>
        <v>Assets Balances ($Millions)</v>
      </c>
      <c r="E22" s="8"/>
      <c r="F22" s="8"/>
      <c r="G22" s="8"/>
      <c r="H22" s="8"/>
      <c r="I22" s="8"/>
      <c r="J22" s="8"/>
      <c r="K22" s="73">
        <f ca="1">IF(ISERROR(HL_Err_Chk_3),1,(HL_Err_Chk_3&lt;&gt;0)*1)</f>
        <v>0</v>
      </c>
      <c r="L22" s="66" t="s">
        <v>86</v>
      </c>
      <c r="M22" s="70">
        <f t="shared" ca="1" si="0"/>
        <v>0</v>
      </c>
    </row>
    <row r="23" spans="2:13" s="15" customFormat="1">
      <c r="D23" s="259" t="str">
        <f>IF(ISERROR(Err_Chk_4_Hdg),"Miscellaneous Check",Err_Chk_4_Hdg)</f>
        <v>Intangibles Balances ($Millions)</v>
      </c>
      <c r="E23" s="8"/>
      <c r="F23" s="8"/>
      <c r="G23" s="8"/>
      <c r="H23" s="8"/>
      <c r="I23" s="8"/>
      <c r="J23" s="8"/>
      <c r="K23" s="73">
        <f ca="1">IF(ISERROR(HL_Err_Chk_4),1,(HL_Err_Chk_4&lt;&gt;0)*1)</f>
        <v>0</v>
      </c>
      <c r="L23" s="66" t="s">
        <v>86</v>
      </c>
      <c r="M23" s="70">
        <f t="shared" ca="1" si="0"/>
        <v>0</v>
      </c>
    </row>
    <row r="24" spans="2:13" s="15" customFormat="1">
      <c r="D24" s="259" t="str">
        <f>IF(ISERROR(Err_Chk_15_Hdg),"Miscellaneous Check",Err_Chk_15_Hdg)</f>
        <v>Ordinary Equity - Outputs</v>
      </c>
      <c r="E24" s="8"/>
      <c r="F24" s="8"/>
      <c r="G24" s="8"/>
      <c r="H24" s="8"/>
      <c r="I24" s="8"/>
      <c r="J24" s="8"/>
      <c r="K24" s="73">
        <f ca="1">IF(ISERROR(HL_Err_Chk_15),1,(HL_Err_Chk_15&lt;&gt;0)*1)</f>
        <v>0</v>
      </c>
      <c r="L24" s="66" t="s">
        <v>86</v>
      </c>
      <c r="M24" s="70">
        <f t="shared" ca="1" si="0"/>
        <v>0</v>
      </c>
    </row>
    <row r="25" spans="2:13" s="15" customFormat="1">
      <c r="D25" s="259" t="str">
        <f>IF(ISERROR(Err_Chk_11_Hdg),"Miscellaneous Check",Err_Chk_11_Hdg)</f>
        <v>Income Statement - Forecast Outputs</v>
      </c>
      <c r="E25" s="8"/>
      <c r="F25" s="8"/>
      <c r="G25" s="8"/>
      <c r="H25" s="8"/>
      <c r="I25" s="8"/>
      <c r="J25" s="8"/>
      <c r="K25" s="73">
        <f ca="1">IF(ISERROR(HL_Err_Chk_11),1,(HL_Err_Chk_11&lt;&gt;0)*1)</f>
        <v>0</v>
      </c>
      <c r="L25" s="66" t="s">
        <v>86</v>
      </c>
      <c r="M25" s="70">
        <f t="shared" ca="1" si="0"/>
        <v>0</v>
      </c>
    </row>
    <row r="26" spans="2:13" s="15" customFormat="1">
      <c r="D26" s="259" t="str">
        <f>IF(ISERROR(Err_Chk_13_Hdg),"Miscellaneous Check",Err_Chk_13_Hdg)</f>
        <v>Balance Sheet - Forecast Outputs</v>
      </c>
      <c r="E26" s="8"/>
      <c r="F26" s="8"/>
      <c r="G26" s="8"/>
      <c r="H26" s="8"/>
      <c r="I26" s="8"/>
      <c r="J26" s="8"/>
      <c r="K26" s="73">
        <f ca="1">IF(ISERROR(HL_Err_Chk_13),1,(HL_Err_Chk_13&lt;&gt;0)*1)</f>
        <v>0</v>
      </c>
      <c r="L26" s="66" t="s">
        <v>86</v>
      </c>
      <c r="M26" s="70">
        <f t="shared" ca="1" si="0"/>
        <v>0</v>
      </c>
    </row>
    <row r="27" spans="2:13" s="15" customFormat="1">
      <c r="D27" s="259" t="str">
        <f>IF(ISERROR(Err_Chk_14_Hdg),"Miscellaneous Check",Err_Chk_14_Hdg)</f>
        <v>Cash Flow Statement - Forecast Outputs</v>
      </c>
      <c r="E27" s="8"/>
      <c r="F27" s="8"/>
      <c r="G27" s="8"/>
      <c r="H27" s="8"/>
      <c r="I27" s="8"/>
      <c r="J27" s="8"/>
      <c r="K27" s="73">
        <f ca="1">IF(ISERROR(HL_Err_Chk_14),1,(HL_Err_Chk_14&lt;&gt;0)*1)</f>
        <v>0</v>
      </c>
      <c r="L27" s="66" t="s">
        <v>86</v>
      </c>
      <c r="M27" s="70">
        <f t="shared" ca="1" si="0"/>
        <v>0</v>
      </c>
    </row>
    <row r="28" spans="2:13" s="15" customFormat="1"/>
    <row r="29" spans="2:13">
      <c r="D29" s="25" t="s">
        <v>389</v>
      </c>
      <c r="M29" s="71">
        <f ca="1">SUMIF(CA_Err_Chks_Inc,"Yes",CA_Err_Chks_Flags)</f>
        <v>0</v>
      </c>
    </row>
    <row r="32" spans="2:13" ht="12.75">
      <c r="B32" s="32" t="s">
        <v>230</v>
      </c>
    </row>
    <row r="34" spans="2:13" ht="17.25" customHeight="1">
      <c r="C34" s="67" t="b">
        <v>1</v>
      </c>
    </row>
    <row r="36" spans="2:13" ht="11.25">
      <c r="C36" s="33" t="s">
        <v>231</v>
      </c>
    </row>
    <row r="38" spans="2:13">
      <c r="D38" s="72" t="str">
        <f>D45</f>
        <v>Total Sensitivities:</v>
      </c>
      <c r="I38" s="74">
        <f>Sens_Chks_Ttl_Areas</f>
        <v>0</v>
      </c>
    </row>
    <row r="39" spans="2:13">
      <c r="D39" s="75" t="s">
        <v>232</v>
      </c>
      <c r="I39" s="76" t="str">
        <f>IF(OR(NOT(CB_Sens_Chks_Show_Msg),Sens_Chks_Ttl_Areas=0),"",IF(Sens_Chks_Ttl_Areas=1," (Sensitivity in "&amp;INDEX(CA_Sens_Chks_Area_Names,MATCH(1,CA_Sens_Chks_Flags,0))&amp;")"," ("&amp;TEXT(Sens_Chks_Ttl_Areas,"#,##0")&amp;" Sensitivities Detected)"))</f>
        <v/>
      </c>
    </row>
    <row r="41" spans="2:13" ht="11.25">
      <c r="C41" s="33" t="s">
        <v>230</v>
      </c>
    </row>
    <row r="43" spans="2:13">
      <c r="D43" s="68" t="s">
        <v>230</v>
      </c>
      <c r="E43" s="17"/>
      <c r="F43" s="17"/>
      <c r="G43" s="17"/>
      <c r="H43" s="17"/>
      <c r="I43" s="17"/>
      <c r="J43" s="17"/>
      <c r="K43" s="69" t="s">
        <v>227</v>
      </c>
      <c r="L43" s="69" t="s">
        <v>228</v>
      </c>
      <c r="M43" s="69" t="s">
        <v>388</v>
      </c>
    </row>
    <row r="44" spans="2:13">
      <c r="D44" s="15"/>
    </row>
    <row r="45" spans="2:13">
      <c r="D45" s="25" t="s">
        <v>390</v>
      </c>
      <c r="M45" s="71">
        <f>SUMIF(CA_Sens_Chks_Inc,"Yes",CA_Sens_Chks_Flags)</f>
        <v>0</v>
      </c>
    </row>
    <row r="48" spans="2:13" ht="12.75">
      <c r="B48" s="32" t="s">
        <v>233</v>
      </c>
    </row>
    <row r="50" spans="3:13" ht="17.25" customHeight="1">
      <c r="C50" s="67" t="b">
        <v>1</v>
      </c>
    </row>
    <row r="52" spans="3:13" ht="11.25">
      <c r="C52" s="33" t="s">
        <v>234</v>
      </c>
    </row>
    <row r="54" spans="3:13">
      <c r="D54" s="72" t="str">
        <f>D66</f>
        <v>Total Alerts:</v>
      </c>
      <c r="I54" s="74">
        <f ca="1">Alt_Chks_Ttl_Areas</f>
        <v>0</v>
      </c>
    </row>
    <row r="55" spans="3:13">
      <c r="D55" s="75" t="s">
        <v>235</v>
      </c>
      <c r="I55" s="76" t="str">
        <f ca="1">IF(OR(NOT(CB_Alt_Chks_Show_Msg),Alt_Chks_Ttl_Areas=0),"",IF(Alt_Chks_Ttl_Areas=1," (Alert in "&amp;INDEX(CA_Alt_Chks_Area_Names,MATCH(1,CA_Alt_Chks_Flags,0))&amp;")"," ("&amp;TEXT(Alt_Chks_Ttl_Areas,"#,##0")&amp;" Alerts Detected)"))</f>
        <v/>
      </c>
    </row>
    <row r="57" spans="3:13" ht="11.25">
      <c r="C57" s="33" t="s">
        <v>233</v>
      </c>
    </row>
    <row r="59" spans="3:13">
      <c r="D59" s="68" t="s">
        <v>233</v>
      </c>
      <c r="E59" s="17"/>
      <c r="F59" s="17"/>
      <c r="G59" s="17"/>
      <c r="H59" s="17"/>
      <c r="I59" s="17"/>
      <c r="J59" s="17"/>
      <c r="K59" s="69" t="s">
        <v>227</v>
      </c>
      <c r="L59" s="69" t="s">
        <v>228</v>
      </c>
      <c r="M59" s="69" t="s">
        <v>388</v>
      </c>
    </row>
    <row r="60" spans="3:13" s="15" customFormat="1">
      <c r="D60" s="77"/>
      <c r="E60" s="21"/>
      <c r="F60" s="21"/>
      <c r="G60" s="21"/>
      <c r="H60" s="21"/>
      <c r="I60" s="21"/>
      <c r="J60" s="21"/>
      <c r="K60" s="78"/>
      <c r="L60" s="78"/>
      <c r="M60" s="78"/>
    </row>
    <row r="61" spans="3:13">
      <c r="D61" s="259" t="str">
        <f>IF(ISERROR(Alt_Chk_1_Hdg),"Miscellaneous Check",Alt_Chk_1_Hdg)</f>
        <v>Balance Sheet - Historical Assumptions</v>
      </c>
      <c r="E61" s="8"/>
      <c r="F61" s="8"/>
      <c r="G61" s="8"/>
      <c r="H61" s="8"/>
      <c r="I61" s="8"/>
      <c r="J61" s="8"/>
      <c r="K61" s="73">
        <f>IF(ISERROR(HL_Alt_Chk_1),1,(HL_Alt_Chk_1&lt;&gt;0)*1)</f>
        <v>0</v>
      </c>
      <c r="L61" s="66" t="s">
        <v>86</v>
      </c>
      <c r="M61" s="70">
        <f>K61*(L61="Yes")</f>
        <v>0</v>
      </c>
    </row>
    <row r="62" spans="3:13" s="15" customFormat="1">
      <c r="D62" s="259" t="str">
        <f>IF(ISERROR(Alt_Chk_2_Hdg),"Miscellaneous Check",Alt_Chk_2_Hdg)</f>
        <v>Balance Sheet - Historical Outputs</v>
      </c>
      <c r="E62" s="8"/>
      <c r="F62" s="8"/>
      <c r="G62" s="8"/>
      <c r="H62" s="8"/>
      <c r="I62" s="8"/>
      <c r="J62" s="8"/>
      <c r="K62" s="73">
        <f>IF(ISERROR(HL_Alt_Chk_2),1,(HL_Alt_Chk_2&lt;&gt;0)*1)</f>
        <v>0</v>
      </c>
      <c r="L62" s="66" t="s">
        <v>86</v>
      </c>
      <c r="M62" s="70">
        <f>K62*(L62="Yes")</f>
        <v>0</v>
      </c>
    </row>
    <row r="63" spans="3:13" s="15" customFormat="1">
      <c r="D63" s="259" t="str">
        <f>IF(ISERROR(Alt_Chk_15_Hdg),"Miscellaneous Check",Alt_Chk_15_Hdg)</f>
        <v>Ordinary Equity - Outputs</v>
      </c>
      <c r="E63" s="8"/>
      <c r="F63" s="8"/>
      <c r="G63" s="8"/>
      <c r="H63" s="8"/>
      <c r="I63" s="8"/>
      <c r="J63" s="8"/>
      <c r="K63" s="73">
        <f ca="1">IF(ISERROR(HL_Alt_Chk_15),1,(HL_Alt_Chk_15&lt;&gt;0)*1)</f>
        <v>0</v>
      </c>
      <c r="L63" s="66" t="s">
        <v>86</v>
      </c>
      <c r="M63" s="70">
        <f ca="1">K63*(L63="Yes")</f>
        <v>0</v>
      </c>
    </row>
    <row r="64" spans="3:13" s="15" customFormat="1">
      <c r="D64" s="259" t="str">
        <f>IF(ISERROR(Alt_Chk_14_Hdg),"Miscellaneous Check",Alt_Chk_14_Hdg)</f>
        <v>Balance Sheet - Forecast Outputs</v>
      </c>
      <c r="E64" s="8"/>
      <c r="F64" s="8"/>
      <c r="G64" s="8"/>
      <c r="H64" s="8"/>
      <c r="I64" s="8"/>
      <c r="J64" s="8"/>
      <c r="K64" s="73">
        <f ca="1">IF(ISERROR(HL_Alt_Chk_14),1,(HL_Alt_Chk_14&lt;&gt;0)*1)</f>
        <v>0</v>
      </c>
      <c r="L64" s="66" t="s">
        <v>86</v>
      </c>
      <c r="M64" s="70">
        <f ca="1">K64*(L64="Yes")</f>
        <v>0</v>
      </c>
    </row>
    <row r="65" spans="4:13" s="15" customFormat="1"/>
    <row r="66" spans="4:13">
      <c r="D66" s="25" t="s">
        <v>391</v>
      </c>
      <c r="M66" s="71">
        <f ca="1">SUMIF(CA_Alt_Chks_Inc,"Yes",CA_Alt_Chks_Flags)</f>
        <v>0</v>
      </c>
    </row>
  </sheetData>
  <mergeCells count="1">
    <mergeCell ref="B3:F3"/>
  </mergeCells>
  <conditionalFormatting sqref="M45 I54 M29 I38 I13">
    <cfRule type="cellIs" dxfId="42" priority="1" stopIfTrue="1" operator="notEqual">
      <formula>0</formula>
    </cfRule>
  </conditionalFormatting>
  <conditionalFormatting sqref="M66">
    <cfRule type="cellIs" dxfId="41" priority="165" stopIfTrue="1" operator="notEqual">
      <formula>0</formula>
    </cfRule>
  </conditionalFormatting>
  <conditionalFormatting sqref="K20:K27">
    <cfRule type="cellIs" dxfId="40" priority="1787" stopIfTrue="1" operator="notEqual">
      <formula>0</formula>
    </cfRule>
  </conditionalFormatting>
  <conditionalFormatting sqref="D20">
    <cfRule type="expression" dxfId="39" priority="2090" stopIfTrue="1">
      <formula>K20&lt;&gt;0</formula>
    </cfRule>
  </conditionalFormatting>
  <conditionalFormatting sqref="L20">
    <cfRule type="expression" dxfId="38" priority="2092" stopIfTrue="1">
      <formula>K20&lt;&gt;0</formula>
    </cfRule>
  </conditionalFormatting>
  <conditionalFormatting sqref="M20">
    <cfRule type="expression" dxfId="37" priority="2093" stopIfTrue="1">
      <formula>K20&lt;&gt;0</formula>
    </cfRule>
  </conditionalFormatting>
  <conditionalFormatting sqref="D21">
    <cfRule type="expression" dxfId="36" priority="2094" stopIfTrue="1">
      <formula>K21&lt;&gt;0</formula>
    </cfRule>
  </conditionalFormatting>
  <conditionalFormatting sqref="L21">
    <cfRule type="expression" dxfId="35" priority="2096" stopIfTrue="1">
      <formula>K21&lt;&gt;0</formula>
    </cfRule>
  </conditionalFormatting>
  <conditionalFormatting sqref="M21">
    <cfRule type="expression" dxfId="34" priority="2097" stopIfTrue="1">
      <formula>K21&lt;&gt;0</formula>
    </cfRule>
  </conditionalFormatting>
  <conditionalFormatting sqref="D22">
    <cfRule type="expression" dxfId="33" priority="2098" stopIfTrue="1">
      <formula>K22&lt;&gt;0</formula>
    </cfRule>
  </conditionalFormatting>
  <conditionalFormatting sqref="L22">
    <cfRule type="expression" dxfId="32" priority="2100" stopIfTrue="1">
      <formula>K22&lt;&gt;0</formula>
    </cfRule>
  </conditionalFormatting>
  <conditionalFormatting sqref="M22">
    <cfRule type="expression" dxfId="31" priority="2101" stopIfTrue="1">
      <formula>K22&lt;&gt;0</formula>
    </cfRule>
  </conditionalFormatting>
  <conditionalFormatting sqref="D23">
    <cfRule type="expression" dxfId="30" priority="2102" stopIfTrue="1">
      <formula>K23&lt;&gt;0</formula>
    </cfRule>
  </conditionalFormatting>
  <conditionalFormatting sqref="L23">
    <cfRule type="expression" dxfId="29" priority="2104" stopIfTrue="1">
      <formula>K23&lt;&gt;0</formula>
    </cfRule>
  </conditionalFormatting>
  <conditionalFormatting sqref="M23">
    <cfRule type="expression" dxfId="28" priority="2105" stopIfTrue="1">
      <formula>K23&lt;&gt;0</formula>
    </cfRule>
  </conditionalFormatting>
  <conditionalFormatting sqref="D24">
    <cfRule type="expression" dxfId="27" priority="2106" stopIfTrue="1">
      <formula>K24&lt;&gt;0</formula>
    </cfRule>
  </conditionalFormatting>
  <conditionalFormatting sqref="L24">
    <cfRule type="expression" dxfId="26" priority="2108" stopIfTrue="1">
      <formula>K24&lt;&gt;0</formula>
    </cfRule>
  </conditionalFormatting>
  <conditionalFormatting sqref="M24">
    <cfRule type="expression" dxfId="25" priority="2109" stopIfTrue="1">
      <formula>K24&lt;&gt;0</formula>
    </cfRule>
  </conditionalFormatting>
  <conditionalFormatting sqref="D25">
    <cfRule type="expression" dxfId="24" priority="2110" stopIfTrue="1">
      <formula>K25&lt;&gt;0</formula>
    </cfRule>
  </conditionalFormatting>
  <conditionalFormatting sqref="L25">
    <cfRule type="expression" dxfId="23" priority="2112" stopIfTrue="1">
      <formula>K25&lt;&gt;0</formula>
    </cfRule>
  </conditionalFormatting>
  <conditionalFormatting sqref="M25">
    <cfRule type="expression" dxfId="22" priority="2113" stopIfTrue="1">
      <formula>K25&lt;&gt;0</formula>
    </cfRule>
  </conditionalFormatting>
  <conditionalFormatting sqref="D26">
    <cfRule type="expression" dxfId="21" priority="2114" stopIfTrue="1">
      <formula>K26&lt;&gt;0</formula>
    </cfRule>
  </conditionalFormatting>
  <conditionalFormatting sqref="L26">
    <cfRule type="expression" dxfId="20" priority="2116" stopIfTrue="1">
      <formula>K26&lt;&gt;0</formula>
    </cfRule>
  </conditionalFormatting>
  <conditionalFormatting sqref="M26">
    <cfRule type="expression" dxfId="19" priority="2117" stopIfTrue="1">
      <formula>K26&lt;&gt;0</formula>
    </cfRule>
  </conditionalFormatting>
  <conditionalFormatting sqref="D27">
    <cfRule type="expression" dxfId="18" priority="2118" stopIfTrue="1">
      <formula>K27&lt;&gt;0</formula>
    </cfRule>
  </conditionalFormatting>
  <conditionalFormatting sqref="L27">
    <cfRule type="expression" dxfId="17" priority="2120" stopIfTrue="1">
      <formula>K27&lt;&gt;0</formula>
    </cfRule>
  </conditionalFormatting>
  <conditionalFormatting sqref="M27">
    <cfRule type="expression" dxfId="16" priority="2121" stopIfTrue="1">
      <formula>K27&lt;&gt;0</formula>
    </cfRule>
  </conditionalFormatting>
  <conditionalFormatting sqref="D61">
    <cfRule type="expression" dxfId="15" priority="2122" stopIfTrue="1">
      <formula>K61&lt;&gt;0</formula>
    </cfRule>
  </conditionalFormatting>
  <conditionalFormatting sqref="K61">
    <cfRule type="cellIs" dxfId="14" priority="2123" stopIfTrue="1" operator="notEqual">
      <formula>0</formula>
    </cfRule>
  </conditionalFormatting>
  <conditionalFormatting sqref="L61">
    <cfRule type="expression" dxfId="13" priority="2124" stopIfTrue="1">
      <formula>K61&lt;&gt;0</formula>
    </cfRule>
  </conditionalFormatting>
  <conditionalFormatting sqref="M61">
    <cfRule type="expression" dxfId="12" priority="2125" stopIfTrue="1">
      <formula>K61&lt;&gt;0</formula>
    </cfRule>
  </conditionalFormatting>
  <conditionalFormatting sqref="D62">
    <cfRule type="expression" dxfId="11" priority="2126" stopIfTrue="1">
      <formula>K62&lt;&gt;0</formula>
    </cfRule>
  </conditionalFormatting>
  <conditionalFormatting sqref="K62">
    <cfRule type="cellIs" dxfId="10" priority="2127" stopIfTrue="1" operator="notEqual">
      <formula>0</formula>
    </cfRule>
  </conditionalFormatting>
  <conditionalFormatting sqref="L62">
    <cfRule type="expression" dxfId="9" priority="2128" stopIfTrue="1">
      <formula>K62&lt;&gt;0</formula>
    </cfRule>
  </conditionalFormatting>
  <conditionalFormatting sqref="M62">
    <cfRule type="expression" dxfId="8" priority="2129" stopIfTrue="1">
      <formula>K62&lt;&gt;0</formula>
    </cfRule>
  </conditionalFormatting>
  <conditionalFormatting sqref="D63">
    <cfRule type="expression" dxfId="7" priority="2130" stopIfTrue="1">
      <formula>K63&lt;&gt;0</formula>
    </cfRule>
  </conditionalFormatting>
  <conditionalFormatting sqref="K63">
    <cfRule type="cellIs" dxfId="6" priority="2131" stopIfTrue="1" operator="notEqual">
      <formula>0</formula>
    </cfRule>
  </conditionalFormatting>
  <conditionalFormatting sqref="L63">
    <cfRule type="expression" dxfId="5" priority="2132" stopIfTrue="1">
      <formula>K63&lt;&gt;0</formula>
    </cfRule>
  </conditionalFormatting>
  <conditionalFormatting sqref="M63">
    <cfRule type="expression" dxfId="4" priority="2133" stopIfTrue="1">
      <formula>K63&lt;&gt;0</formula>
    </cfRule>
  </conditionalFormatting>
  <conditionalFormatting sqref="D64">
    <cfRule type="expression" dxfId="3" priority="2134" stopIfTrue="1">
      <formula>K64&lt;&gt;0</formula>
    </cfRule>
  </conditionalFormatting>
  <conditionalFormatting sqref="K64">
    <cfRule type="cellIs" dxfId="2" priority="2135" stopIfTrue="1" operator="notEqual">
      <formula>0</formula>
    </cfRule>
  </conditionalFormatting>
  <conditionalFormatting sqref="L64">
    <cfRule type="expression" dxfId="1" priority="2136" stopIfTrue="1">
      <formula>K64&lt;&gt;0</formula>
    </cfRule>
  </conditionalFormatting>
  <conditionalFormatting sqref="M64">
    <cfRule type="expression" dxfId="0" priority="2137" stopIfTrue="1">
      <formula>K64&lt;&gt;0</formula>
    </cfRule>
  </conditionalFormatting>
  <dataValidations count="6">
    <dataValidation type="custom" showDropDown="1" showErrorMessage="1" errorTitle="6 Cell Link" error="The value in an option button cell link must be either &quot;TRUE&quot; or &quot;FALSE&quot;" sqref="C50 C9 C34">
      <formula1>ISLOGICAL(C9)</formula1>
    </dataValidation>
    <dataValidation type="list" showErrorMessage="1" errorTitle="Include Error Check" error="The include error check trigger must correspond with one of the options provided in the drop down list." sqref="L20:L27">
      <formula1>"Yes,No"</formula1>
    </dataValidation>
    <dataValidation type="list" showErrorMessage="1" errorTitle="Include Alert Check" error="The include alert check trigger must correspond with one of the options provided in the drop down list." sqref="L61">
      <formula1>"Yes,No"</formula1>
    </dataValidation>
    <dataValidation type="list" showErrorMessage="1" errorTitle="Include Alert Check" error="The include alert check trigger must correspond with one of the options provided in the drop down list." sqref="L62">
      <formula1>"Yes,No"</formula1>
    </dataValidation>
    <dataValidation type="list" showErrorMessage="1" errorTitle="Include Alert Check" error="The include alert check trigger must correspond with one of the options provided in the drop down list." sqref="L63">
      <formula1>"Yes,No"</formula1>
    </dataValidation>
    <dataValidation type="list" showErrorMessage="1" errorTitle="Include Alert Check" error="The include alert check trigger must correspond with one of the options provided in the drop down list." sqref="L64">
      <formula1>"Yes,No"</formula1>
    </dataValidation>
  </dataValidations>
  <hyperlinks>
    <hyperlink ref="D20:J20" location="HL_Err_Chk_1" tooltip="Go to Accounts Receivable Balances ($Millions)" display="HL_Err_Chk_1"/>
    <hyperlink ref="D21:J21" location="HL_Err_Chk_2" tooltip="Go to Accounts Payable Balances ($Millions)" display="HL_Err_Chk_2"/>
    <hyperlink ref="D22:J22" location="HL_Err_Chk_3" tooltip="Go to Assets Balances ($Millions)" display="HL_Err_Chk_3"/>
    <hyperlink ref="D23:J23" location="HL_Err_Chk_4" tooltip="Go to Intangibles Balances ($Millions)" display="HL_Err_Chk_4"/>
    <hyperlink ref="D24:J24" location="HL_Err_Chk_15" tooltip="Go to Ordinary Equity - Outputs" display="HL_Err_Chk_15"/>
    <hyperlink ref="D25:J25" location="HL_Err_Chk_11" tooltip="Go to Income Statement - Forecast Outputs" display="HL_Err_Chk_11"/>
    <hyperlink ref="D26:J26" location="HL_Err_Chk_13" tooltip="Go to Balance Sheet - Forecast Outputs" display="HL_Err_Chk_13"/>
    <hyperlink ref="D27:J27" location="HL_Err_Chk_14" tooltip="Go to Cash Flow Statement - Forecast Outputs" display="HL_Err_Chk_14"/>
    <hyperlink ref="D61:J61" location="HL_Alt_Chk_1" tooltip="Go to Balance Sheet - Historical Assumptions" display="HL_Alt_Chk_1"/>
    <hyperlink ref="D62:J62" location="HL_Alt_Chk_2" tooltip="Go to Balance Sheet - Historical Outputs" display="HL_Alt_Chk_2"/>
    <hyperlink ref="D63:J63" location="HL_Alt_Chk_15" tooltip="Go to Ordinary Equity - Outputs" display="HL_Alt_Chk_15"/>
    <hyperlink ref="D64:J64" location="HL_Alt_Chk_14" tooltip="Go to Balance Sheet - Forecast Outputs" display="HL_Alt_Chk_14"/>
    <hyperlink ref="B3" location="HL_Home" tooltip="Go to Table of Contents" display="HL_Home"/>
    <hyperlink ref="A4" location="$B$5" tooltip="Go to Top of Sheet" display="$B$5"/>
    <hyperlink ref="B4" location="HL_Sheet_Main_13" tooltip="Go to Previous Sheet" display="HL_Sheet_Main_13"/>
    <hyperlink ref="C4" location="HL_Sheet_Main_40" tooltip="Go to Next Sheet" display="HL_Sheet_Main_40"/>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99" right="0.39370078740157499" top="0.59055118110236204" bottom="0.98425196850393704" header="0" footer="0.31496062992126"/>
  <pageSetup paperSize="9" scale="90" orientation="landscape" r:id="rId1"/>
  <headerFooter>
    <oddFooter>&amp;L&amp;F
&amp;A
Printed: &amp;T on &amp;D&amp;CPage &amp;P of &amp;N</oddFooter>
  </headerFooter>
  <rowBreaks count="2" manualBreakCount="2">
    <brk id="31" min="1" max="12" man="1"/>
    <brk id="47" min="1" max="12" man="1"/>
  </rowBreaks>
  <legacyDrawing r:id="rId2"/>
  <legacyDrawingHF r:id="rId3"/>
</worksheet>
</file>

<file path=xl/worksheets/sheet36.xml><?xml version="1.0" encoding="utf-8"?>
<worksheet xmlns="http://schemas.openxmlformats.org/spreadsheetml/2006/main" xmlns:r="http://schemas.openxmlformats.org/officeDocument/2006/relationships">
  <sheetPr codeName="Sheet3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190</v>
      </c>
    </row>
    <row r="10" spans="3:7" ht="16.5">
      <c r="C10" s="27" t="s">
        <v>516</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461</v>
      </c>
    </row>
    <row r="18" spans="3:3">
      <c r="C18" s="26" t="s">
        <v>394</v>
      </c>
    </row>
    <row r="19" spans="3:3">
      <c r="C19" s="26"/>
    </row>
    <row r="20" spans="3:3">
      <c r="C20" s="26"/>
    </row>
  </sheetData>
  <mergeCells count="1">
    <mergeCell ref="C12:G12"/>
  </mergeCells>
  <hyperlinks>
    <hyperlink ref="C12" location="HL_Home" tooltip="Go to Table of Contents" display="HL_Home"/>
    <hyperlink ref="C13" location="HL_Sheet_Main_14" tooltip="Go to Previous Sheet" display="HL_Sheet_Main_14"/>
    <hyperlink ref="D13" location="HL_Sheet_Main_9" tooltip="Go to Next Sheet" display="HL_Sheet_Main_9"/>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7.xml><?xml version="1.0" encoding="utf-8"?>
<worksheet xmlns="http://schemas.openxmlformats.org/spreadsheetml/2006/main" xmlns:r="http://schemas.openxmlformats.org/officeDocument/2006/relationships">
  <sheetPr codeName="Sheet35">
    <pageSetUpPr autoPageBreaks="0"/>
  </sheetPr>
  <dimension ref="A1:F105"/>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331</v>
      </c>
    </row>
    <row r="2" spans="1:6" ht="15">
      <c r="B2" s="2" t="str">
        <f ca="1">Model_Name</f>
        <v>SMA 5. Assumption Entry Interfaces - Best Practice Model Example</v>
      </c>
    </row>
    <row r="3" spans="1:6">
      <c r="B3" s="272" t="s">
        <v>48</v>
      </c>
      <c r="C3" s="272"/>
      <c r="D3" s="272"/>
    </row>
    <row r="4" spans="1:6" ht="12.75">
      <c r="A4" s="10" t="s">
        <v>51</v>
      </c>
      <c r="B4" s="11" t="s">
        <v>53</v>
      </c>
      <c r="C4" s="12" t="s">
        <v>102</v>
      </c>
    </row>
    <row r="7" spans="1:6" ht="12.75">
      <c r="B7" s="32" t="s">
        <v>331</v>
      </c>
    </row>
    <row r="9" spans="1:6" ht="11.25">
      <c r="C9" s="33" t="s">
        <v>332</v>
      </c>
      <c r="F9" s="33" t="s">
        <v>330</v>
      </c>
    </row>
    <row r="11" spans="1:6">
      <c r="D11" s="37" t="s">
        <v>332</v>
      </c>
      <c r="F11" s="26" t="s">
        <v>333</v>
      </c>
    </row>
    <row r="12" spans="1:6">
      <c r="D12" s="39">
        <v>1</v>
      </c>
    </row>
    <row r="13" spans="1:6">
      <c r="D13" s="40">
        <f t="shared" ref="D13:D42" si="0">D12+1</f>
        <v>2</v>
      </c>
    </row>
    <row r="14" spans="1:6">
      <c r="D14" s="40">
        <f t="shared" si="0"/>
        <v>3</v>
      </c>
    </row>
    <row r="15" spans="1:6">
      <c r="D15" s="40">
        <f t="shared" si="0"/>
        <v>4</v>
      </c>
    </row>
    <row r="16" spans="1:6">
      <c r="D16" s="40">
        <f t="shared" si="0"/>
        <v>5</v>
      </c>
    </row>
    <row r="17" spans="4:4">
      <c r="D17" s="40">
        <f t="shared" si="0"/>
        <v>6</v>
      </c>
    </row>
    <row r="18" spans="4:4">
      <c r="D18" s="40">
        <f t="shared" si="0"/>
        <v>7</v>
      </c>
    </row>
    <row r="19" spans="4:4">
      <c r="D19" s="40">
        <f t="shared" si="0"/>
        <v>8</v>
      </c>
    </row>
    <row r="20" spans="4:4">
      <c r="D20" s="40">
        <f t="shared" si="0"/>
        <v>9</v>
      </c>
    </row>
    <row r="21" spans="4:4">
      <c r="D21" s="40">
        <f t="shared" si="0"/>
        <v>10</v>
      </c>
    </row>
    <row r="22" spans="4:4">
      <c r="D22" s="40">
        <f t="shared" si="0"/>
        <v>11</v>
      </c>
    </row>
    <row r="23" spans="4:4">
      <c r="D23" s="40">
        <f t="shared" si="0"/>
        <v>12</v>
      </c>
    </row>
    <row r="24" spans="4:4">
      <c r="D24" s="40">
        <f t="shared" si="0"/>
        <v>13</v>
      </c>
    </row>
    <row r="25" spans="4:4">
      <c r="D25" s="40">
        <f t="shared" si="0"/>
        <v>14</v>
      </c>
    </row>
    <row r="26" spans="4:4">
      <c r="D26" s="40">
        <f t="shared" si="0"/>
        <v>15</v>
      </c>
    </row>
    <row r="27" spans="4:4">
      <c r="D27" s="40">
        <f t="shared" si="0"/>
        <v>16</v>
      </c>
    </row>
    <row r="28" spans="4:4">
      <c r="D28" s="40">
        <f t="shared" si="0"/>
        <v>17</v>
      </c>
    </row>
    <row r="29" spans="4:4">
      <c r="D29" s="40">
        <f t="shared" si="0"/>
        <v>18</v>
      </c>
    </row>
    <row r="30" spans="4:4">
      <c r="D30" s="40">
        <f t="shared" si="0"/>
        <v>19</v>
      </c>
    </row>
    <row r="31" spans="4:4">
      <c r="D31" s="40">
        <f t="shared" si="0"/>
        <v>20</v>
      </c>
    </row>
    <row r="32" spans="4:4">
      <c r="D32" s="40">
        <f t="shared" si="0"/>
        <v>21</v>
      </c>
    </row>
    <row r="33" spans="3:6">
      <c r="D33" s="40">
        <f t="shared" si="0"/>
        <v>22</v>
      </c>
    </row>
    <row r="34" spans="3:6">
      <c r="D34" s="40">
        <f t="shared" si="0"/>
        <v>23</v>
      </c>
    </row>
    <row r="35" spans="3:6">
      <c r="D35" s="40">
        <f t="shared" si="0"/>
        <v>24</v>
      </c>
    </row>
    <row r="36" spans="3:6">
      <c r="D36" s="40">
        <f t="shared" si="0"/>
        <v>25</v>
      </c>
    </row>
    <row r="37" spans="3:6">
      <c r="D37" s="40">
        <f t="shared" si="0"/>
        <v>26</v>
      </c>
    </row>
    <row r="38" spans="3:6">
      <c r="D38" s="40">
        <f t="shared" si="0"/>
        <v>27</v>
      </c>
    </row>
    <row r="39" spans="3:6">
      <c r="D39" s="40">
        <f t="shared" si="0"/>
        <v>28</v>
      </c>
    </row>
    <row r="40" spans="3:6">
      <c r="D40" s="40">
        <f t="shared" si="0"/>
        <v>29</v>
      </c>
    </row>
    <row r="41" spans="3:6">
      <c r="D41" s="40">
        <f t="shared" si="0"/>
        <v>30</v>
      </c>
    </row>
    <row r="42" spans="3:6">
      <c r="D42" s="40">
        <f t="shared" si="0"/>
        <v>31</v>
      </c>
    </row>
    <row r="44" spans="3:6" ht="11.25">
      <c r="C44" s="33" t="s">
        <v>334</v>
      </c>
      <c r="F44" s="33" t="s">
        <v>330</v>
      </c>
    </row>
    <row r="46" spans="3:6">
      <c r="D46" s="37" t="s">
        <v>334</v>
      </c>
      <c r="F46" s="26" t="s">
        <v>335</v>
      </c>
    </row>
    <row r="47" spans="3:6">
      <c r="D47" s="38" t="s">
        <v>56</v>
      </c>
    </row>
    <row r="48" spans="3:6">
      <c r="D48" s="38" t="s">
        <v>57</v>
      </c>
    </row>
    <row r="49" spans="3:6">
      <c r="D49" s="38" t="s">
        <v>58</v>
      </c>
    </row>
    <row r="50" spans="3:6">
      <c r="D50" s="38" t="s">
        <v>59</v>
      </c>
    </row>
    <row r="51" spans="3:6">
      <c r="D51" s="38" t="s">
        <v>60</v>
      </c>
    </row>
    <row r="52" spans="3:6">
      <c r="D52" s="38" t="s">
        <v>61</v>
      </c>
    </row>
    <row r="53" spans="3:6">
      <c r="D53" s="38" t="s">
        <v>62</v>
      </c>
    </row>
    <row r="54" spans="3:6">
      <c r="D54" s="38" t="s">
        <v>63</v>
      </c>
    </row>
    <row r="55" spans="3:6">
      <c r="D55" s="38" t="s">
        <v>64</v>
      </c>
    </row>
    <row r="56" spans="3:6">
      <c r="D56" s="38" t="s">
        <v>65</v>
      </c>
    </row>
    <row r="57" spans="3:6">
      <c r="D57" s="38" t="s">
        <v>66</v>
      </c>
    </row>
    <row r="58" spans="3:6">
      <c r="D58" s="38" t="s">
        <v>67</v>
      </c>
    </row>
    <row r="60" spans="3:6" ht="11.25">
      <c r="C60" s="33" t="s">
        <v>87</v>
      </c>
      <c r="F60" s="33" t="s">
        <v>330</v>
      </c>
    </row>
    <row r="62" spans="3:6">
      <c r="D62" s="37" t="s">
        <v>87</v>
      </c>
      <c r="F62" s="26" t="s">
        <v>88</v>
      </c>
    </row>
    <row r="63" spans="3:6">
      <c r="D63" s="38" t="s">
        <v>89</v>
      </c>
      <c r="F63" s="26" t="s">
        <v>90</v>
      </c>
    </row>
    <row r="64" spans="3:6">
      <c r="D64" s="38" t="s">
        <v>91</v>
      </c>
      <c r="F64" s="26" t="s">
        <v>92</v>
      </c>
    </row>
    <row r="65" spans="3:6">
      <c r="D65" s="38" t="s">
        <v>93</v>
      </c>
      <c r="F65" s="26" t="s">
        <v>94</v>
      </c>
    </row>
    <row r="66" spans="3:6">
      <c r="D66" s="38" t="s">
        <v>95</v>
      </c>
      <c r="F66" s="26" t="s">
        <v>96</v>
      </c>
    </row>
    <row r="68" spans="3:6" ht="11.25">
      <c r="C68" s="33" t="s">
        <v>336</v>
      </c>
      <c r="F68" s="33" t="s">
        <v>330</v>
      </c>
    </row>
    <row r="70" spans="3:6">
      <c r="D70" s="37" t="s">
        <v>336</v>
      </c>
      <c r="F70" s="26" t="s">
        <v>337</v>
      </c>
    </row>
    <row r="71" spans="3:6">
      <c r="D71" s="38" t="s">
        <v>338</v>
      </c>
    </row>
    <row r="72" spans="3:6">
      <c r="D72" s="38" t="s">
        <v>339</v>
      </c>
    </row>
    <row r="74" spans="3:6" ht="11.25">
      <c r="C74" s="33" t="s">
        <v>340</v>
      </c>
      <c r="F74" s="33" t="s">
        <v>330</v>
      </c>
    </row>
    <row r="76" spans="3:6">
      <c r="D76" s="37" t="s">
        <v>340</v>
      </c>
      <c r="F76" s="26" t="s">
        <v>341</v>
      </c>
    </row>
    <row r="77" spans="3:6">
      <c r="D77" s="38" t="s">
        <v>70</v>
      </c>
      <c r="F77" s="26" t="s">
        <v>70</v>
      </c>
    </row>
    <row r="78" spans="3:6">
      <c r="D78" s="38" t="s">
        <v>71</v>
      </c>
      <c r="F78" s="26" t="s">
        <v>342</v>
      </c>
    </row>
    <row r="79" spans="3:6">
      <c r="D79" s="38" t="s">
        <v>72</v>
      </c>
      <c r="F79" s="26" t="s">
        <v>73</v>
      </c>
    </row>
    <row r="80" spans="3:6">
      <c r="D80" s="38" t="s">
        <v>74</v>
      </c>
      <c r="F80" s="26" t="s">
        <v>75</v>
      </c>
    </row>
    <row r="82" spans="3:6" ht="11.25">
      <c r="C82" s="33" t="s">
        <v>343</v>
      </c>
      <c r="F82" s="33" t="s">
        <v>330</v>
      </c>
    </row>
    <row r="84" spans="3:6">
      <c r="D84" s="37" t="s">
        <v>343</v>
      </c>
      <c r="F84" s="26" t="s">
        <v>344</v>
      </c>
    </row>
    <row r="85" spans="3:6">
      <c r="D85" s="38" t="s">
        <v>76</v>
      </c>
      <c r="F85" s="26" t="s">
        <v>77</v>
      </c>
    </row>
    <row r="86" spans="3:6">
      <c r="D86" s="38" t="s">
        <v>69</v>
      </c>
      <c r="F86" s="26" t="s">
        <v>78</v>
      </c>
    </row>
    <row r="87" spans="3:6">
      <c r="D87" s="38" t="s">
        <v>68</v>
      </c>
      <c r="F87" s="26" t="s">
        <v>79</v>
      </c>
    </row>
    <row r="88" spans="3:6">
      <c r="D88" s="38" t="s">
        <v>55</v>
      </c>
      <c r="F88" s="26" t="s">
        <v>80</v>
      </c>
    </row>
    <row r="90" spans="3:6" ht="11.25">
      <c r="C90" s="33" t="s">
        <v>345</v>
      </c>
      <c r="F90" s="33" t="s">
        <v>330</v>
      </c>
    </row>
    <row r="92" spans="3:6">
      <c r="D92" s="37" t="s">
        <v>345</v>
      </c>
      <c r="F92" s="26" t="s">
        <v>81</v>
      </c>
    </row>
    <row r="93" spans="3:6">
      <c r="D93" s="39">
        <v>1</v>
      </c>
      <c r="F93" s="26" t="s">
        <v>82</v>
      </c>
    </row>
    <row r="94" spans="3:6">
      <c r="D94" s="39">
        <v>2</v>
      </c>
      <c r="F94" s="26" t="s">
        <v>83</v>
      </c>
    </row>
    <row r="95" spans="3:6">
      <c r="D95" s="39">
        <v>4</v>
      </c>
      <c r="F95" s="26" t="s">
        <v>84</v>
      </c>
    </row>
    <row r="96" spans="3:6">
      <c r="D96" s="39">
        <v>12</v>
      </c>
      <c r="F96" s="26" t="s">
        <v>85</v>
      </c>
    </row>
    <row r="98" spans="3:6" ht="11.25">
      <c r="C98" s="33" t="s">
        <v>346</v>
      </c>
      <c r="F98" s="33" t="s">
        <v>330</v>
      </c>
    </row>
    <row r="100" spans="3:6">
      <c r="D100" s="37" t="s">
        <v>346</v>
      </c>
    </row>
    <row r="101" spans="3:6">
      <c r="D101" s="39">
        <v>10</v>
      </c>
      <c r="F101" s="26" t="s">
        <v>97</v>
      </c>
    </row>
    <row r="102" spans="3:6">
      <c r="D102" s="39">
        <v>100</v>
      </c>
      <c r="F102" s="26" t="s">
        <v>98</v>
      </c>
    </row>
    <row r="103" spans="3:6">
      <c r="D103" s="39">
        <v>1000</v>
      </c>
      <c r="F103" s="26" t="s">
        <v>99</v>
      </c>
    </row>
    <row r="104" spans="3:6">
      <c r="D104" s="39">
        <v>1000000</v>
      </c>
      <c r="F104" s="26" t="s">
        <v>100</v>
      </c>
    </row>
    <row r="105" spans="3:6">
      <c r="D105" s="39">
        <v>1000000000</v>
      </c>
      <c r="F105" s="26" t="s">
        <v>101</v>
      </c>
    </row>
  </sheetData>
  <mergeCells count="1">
    <mergeCell ref="B3:D3"/>
  </mergeCells>
  <hyperlinks>
    <hyperlink ref="B3" location="HL_Home" tooltip="Go to Table of Contents" display="HL_Home"/>
    <hyperlink ref="A4" location="$B$5" tooltip="Go to Top of Sheet" display="$B$5"/>
    <hyperlink ref="B4" location="HL_Sheet_Main_40" tooltip="Go to Previous Sheet" display="HL_Sheet_Main_40"/>
    <hyperlink ref="C4" location="HL_Sheet_Main_42" tooltip="Go to Next Sheet" display="HL_Sheet_Main_42"/>
  </hyperlinks>
  <pageMargins left="0.39370078740157483" right="0.39370078740157483" top="0.59055118110236227" bottom="0.98425196850393704" header="0" footer="0.31496062992125984"/>
  <pageSetup paperSize="9" orientation="landscape" r:id="rId1"/>
  <headerFooter>
    <oddFooter>&amp;L&amp;F
&amp;A
Printed: &amp;T on &amp;D&amp;CPage &amp;P of &amp;N</oddFooter>
  </headerFooter>
  <rowBreaks count="2" manualBreakCount="2">
    <brk id="43" min="1" max="6" man="1"/>
    <brk id="73" min="1" max="6" man="1"/>
  </rowBreaks>
  <legacyDrawing r:id="rId2"/>
  <legacyDrawingHF r:id="rId3"/>
</worksheet>
</file>

<file path=xl/worksheets/sheet38.xml><?xml version="1.0" encoding="utf-8"?>
<worksheet xmlns="http://schemas.openxmlformats.org/spreadsheetml/2006/main" xmlns:r="http://schemas.openxmlformats.org/officeDocument/2006/relationships">
  <sheetPr codeName="Sheet36">
    <pageSetUpPr autoPageBreaks="0"/>
  </sheetPr>
  <dimension ref="A1:F13"/>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3" width="3.83203125" customWidth="1"/>
    <col min="4" max="4" width="35.83203125" customWidth="1"/>
    <col min="5" max="5" width="3.83203125" customWidth="1"/>
    <col min="6" max="6" width="35.83203125" customWidth="1"/>
    <col min="7" max="7" width="3.83203125" customWidth="1"/>
    <col min="8" max="256" width="11.83203125" customWidth="1"/>
  </cols>
  <sheetData>
    <row r="1" spans="1:6" ht="18">
      <c r="B1" s="1" t="s">
        <v>395</v>
      </c>
    </row>
    <row r="2" spans="1:6" ht="15">
      <c r="B2" s="2" t="str">
        <f ca="1">Model_Name</f>
        <v>SMA 5. Assumption Entry Interfaces - Best Practice Model Example</v>
      </c>
    </row>
    <row r="3" spans="1:6">
      <c r="B3" s="272" t="s">
        <v>48</v>
      </c>
      <c r="C3" s="272"/>
      <c r="D3" s="272"/>
    </row>
    <row r="4" spans="1:6" ht="12.75">
      <c r="A4" s="10" t="s">
        <v>51</v>
      </c>
      <c r="B4" s="11" t="s">
        <v>53</v>
      </c>
      <c r="C4" s="12" t="s">
        <v>102</v>
      </c>
    </row>
    <row r="7" spans="1:6" s="15" customFormat="1" ht="12.75">
      <c r="B7" s="99" t="str">
        <f>B1</f>
        <v>Capital - Lookup Tables</v>
      </c>
    </row>
    <row r="8" spans="1:6" s="15" customFormat="1"/>
    <row r="9" spans="1:6" s="15" customFormat="1" ht="11.25">
      <c r="C9" s="93" t="s">
        <v>259</v>
      </c>
      <c r="F9" s="93" t="s">
        <v>54</v>
      </c>
    </row>
    <row r="10" spans="1:6" s="15" customFormat="1"/>
    <row r="11" spans="1:6" s="15" customFormat="1">
      <c r="D11" s="102" t="s">
        <v>260</v>
      </c>
      <c r="F11" s="6" t="s">
        <v>261</v>
      </c>
    </row>
    <row r="12" spans="1:6" s="15" customFormat="1">
      <c r="D12" s="103" t="s">
        <v>262</v>
      </c>
    </row>
    <row r="13" spans="1:6" s="15" customFormat="1">
      <c r="D13" s="103" t="s">
        <v>263</v>
      </c>
    </row>
  </sheetData>
  <mergeCells count="1">
    <mergeCell ref="B3:D3"/>
  </mergeCells>
  <hyperlinks>
    <hyperlink ref="B3" location="HL_Home" tooltip="Go to Table of Contents" display="HL_Home"/>
    <hyperlink ref="A4" location="$B$5" tooltip="Go to Top of Sheet" display="$B$5"/>
    <hyperlink ref="B4" location="HL_Sheet_Main_9" tooltip="Go to Previous Sheet" display="HL_Sheet_Main_9"/>
    <hyperlink ref="C4" location="HL_Sheet_Main_27" tooltip="Go to Next Sheet" display="HL_Sheet_Main_2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39.xml><?xml version="1.0" encoding="utf-8"?>
<worksheet xmlns="http://schemas.openxmlformats.org/spreadsheetml/2006/main" xmlns:r="http://schemas.openxmlformats.org/officeDocument/2006/relationships">
  <sheetPr codeName="Sheet37">
    <pageSetUpPr autoPageBreaks="0"/>
  </sheetPr>
  <dimension ref="A1:F19"/>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ColWidth="11.83203125" defaultRowHeight="10.5"/>
  <cols>
    <col min="1" max="3" width="3.83203125" customWidth="1"/>
    <col min="4" max="4" width="35.83203125" customWidth="1"/>
    <col min="5" max="5" width="3.83203125" customWidth="1"/>
    <col min="6" max="6" width="35.83203125" customWidth="1"/>
    <col min="7" max="7" width="3.83203125" customWidth="1"/>
  </cols>
  <sheetData>
    <row r="1" spans="1:6" ht="18">
      <c r="B1" s="1" t="s">
        <v>443</v>
      </c>
    </row>
    <row r="2" spans="1:6" ht="15">
      <c r="B2" s="2" t="str">
        <f ca="1">Model_Name</f>
        <v>SMA 5. Assumption Entry Interfaces - Best Practice Model Example</v>
      </c>
    </row>
    <row r="3" spans="1:6">
      <c r="B3" s="272" t="s">
        <v>48</v>
      </c>
      <c r="C3" s="272"/>
      <c r="D3" s="272"/>
    </row>
    <row r="4" spans="1:6" ht="12.75">
      <c r="A4" s="10" t="s">
        <v>51</v>
      </c>
      <c r="B4" s="11" t="s">
        <v>53</v>
      </c>
    </row>
    <row r="7" spans="1:6" ht="12.75">
      <c r="B7" s="32" t="s">
        <v>446</v>
      </c>
    </row>
    <row r="9" spans="1:6" ht="11.25">
      <c r="C9" s="33" t="s">
        <v>445</v>
      </c>
      <c r="F9" s="33" t="s">
        <v>330</v>
      </c>
    </row>
    <row r="11" spans="1:6">
      <c r="D11" s="37" t="s">
        <v>444</v>
      </c>
      <c r="F11" s="112" t="s">
        <v>447</v>
      </c>
    </row>
    <row r="12" spans="1:6">
      <c r="D12" s="159" t="str">
        <f>IF(TS_Periodicity=Annual,IS_All_TO!J$7,IS_All_TO!J$6)</f>
        <v xml:space="preserve">2010 (A) </v>
      </c>
      <c r="F12" s="112"/>
    </row>
    <row r="13" spans="1:6">
      <c r="D13" s="159" t="str">
        <f>IF(TS_Periodicity=Annual,IS_All_TO!K$7,IS_All_TO!K$6)</f>
        <v xml:space="preserve">2011 (A) </v>
      </c>
      <c r="F13" s="112"/>
    </row>
    <row r="14" spans="1:6">
      <c r="D14" s="159" t="str">
        <f>IF(TS_Periodicity=Annual,IS_All_TO!L$7,IS_All_TO!L$6)</f>
        <v xml:space="preserve">2012 (A) </v>
      </c>
      <c r="F14" s="112"/>
    </row>
    <row r="15" spans="1:6">
      <c r="D15" s="159" t="str">
        <f>IF(TS_Periodicity=Annual,IS_All_TO!M$7,IS_All_TO!M$6)</f>
        <v xml:space="preserve">2013 (F) </v>
      </c>
      <c r="F15" s="112"/>
    </row>
    <row r="16" spans="1:6">
      <c r="D16" s="159" t="str">
        <f>IF(TS_Periodicity=Annual,IS_All_TO!N$7,IS_All_TO!N$6)</f>
        <v xml:space="preserve">2014 (F) </v>
      </c>
      <c r="F16" s="112"/>
    </row>
    <row r="17" spans="4:6">
      <c r="D17" s="159" t="str">
        <f>IF(TS_Periodicity=Annual,IS_All_TO!O$7,IS_All_TO!O$6)</f>
        <v xml:space="preserve">2015 (F) </v>
      </c>
      <c r="F17" s="112"/>
    </row>
    <row r="18" spans="4:6">
      <c r="D18" s="159" t="str">
        <f>IF(TS_Periodicity=Annual,IS_All_TO!P$7,IS_All_TO!P$6)</f>
        <v xml:space="preserve">2016 (F) </v>
      </c>
      <c r="F18" s="112"/>
    </row>
    <row r="19" spans="4:6">
      <c r="D19" s="159" t="str">
        <f>IF(TS_Periodicity=Annual,IS_All_TO!Q$7,IS_All_TO!Q$6)</f>
        <v xml:space="preserve">2017 (F) </v>
      </c>
      <c r="F19" s="112"/>
    </row>
  </sheetData>
  <mergeCells count="1">
    <mergeCell ref="B3:D3"/>
  </mergeCells>
  <hyperlinks>
    <hyperlink ref="B3" location="HL_Home" tooltip="Go to Table of Contents" display="HL_Home"/>
    <hyperlink ref="A4" location="$B$5" tooltip="Go to Top of Sheet" display="$B$5"/>
    <hyperlink ref="B4" location="HL_Sheet_Main_42" tooltip="Go to Previous Sheet" display="HL_Sheet_Main_42"/>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4.xml><?xml version="1.0" encoding="utf-8"?>
<worksheet xmlns="http://schemas.openxmlformats.org/spreadsheetml/2006/main" xmlns:r="http://schemas.openxmlformats.org/officeDocument/2006/relationships">
  <sheetPr codeName="Sheet4">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203</v>
      </c>
    </row>
    <row r="10" spans="3:7" ht="16.5">
      <c r="C10" s="27" t="s">
        <v>192</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461</v>
      </c>
    </row>
    <row r="18" spans="3:3">
      <c r="C18" s="26" t="s">
        <v>204</v>
      </c>
    </row>
    <row r="19" spans="3:3">
      <c r="C19" s="26" t="s">
        <v>297</v>
      </c>
    </row>
    <row r="20" spans="3:3">
      <c r="C20" s="26"/>
    </row>
  </sheetData>
  <mergeCells count="1">
    <mergeCell ref="C12:G12"/>
  </mergeCells>
  <hyperlinks>
    <hyperlink ref="C12" location="HL_Home" tooltip="Go to Table of Contents" display="HL_Home"/>
    <hyperlink ref="C13" location="HL_Sheet_Main_2" tooltip="Go to Previous Sheet" display="HL_Sheet_Main_2"/>
    <hyperlink ref="D13" location="HL_Sheet_Main" tooltip="Go to Next Sheet" display="HL_Sheet_Main"/>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legacyDrawingHF r:id="rId2"/>
</worksheet>
</file>

<file path=xl/worksheets/sheet5.xml><?xml version="1.0" encoding="utf-8"?>
<worksheet xmlns="http://schemas.openxmlformats.org/spreadsheetml/2006/main" xmlns:r="http://schemas.openxmlformats.org/officeDocument/2006/relationships">
  <sheetPr codeName="Sheet5">
    <pageSetUpPr autoPageBreaks="0" fitToPage="1"/>
  </sheetPr>
  <dimension ref="A1:M124"/>
  <sheetViews>
    <sheetView showGridLines="0" zoomScaleNormal="100" zoomScaleSheetLayoutView="7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1" width="11.83203125" customWidth="1"/>
  </cols>
  <sheetData>
    <row r="1" spans="1:13" ht="18">
      <c r="B1" s="1" t="s">
        <v>406</v>
      </c>
    </row>
    <row r="2" spans="1:13" ht="15">
      <c r="B2" s="2" t="str">
        <f ca="1">Model_Name</f>
        <v>SMA 5. Assumption Entry Interfaces - Best Practice Model Example</v>
      </c>
    </row>
    <row r="3" spans="1:13">
      <c r="B3" s="272" t="s">
        <v>48</v>
      </c>
      <c r="C3" s="272"/>
      <c r="D3" s="272"/>
      <c r="E3" s="272"/>
      <c r="F3" s="272"/>
    </row>
    <row r="4" spans="1:13" ht="12.75">
      <c r="A4" s="10" t="s">
        <v>51</v>
      </c>
      <c r="B4" s="11" t="s">
        <v>53</v>
      </c>
      <c r="C4" s="12" t="s">
        <v>102</v>
      </c>
      <c r="D4" s="265" t="s">
        <v>205</v>
      </c>
      <c r="E4" s="265" t="s">
        <v>206</v>
      </c>
      <c r="F4" s="13" t="s">
        <v>207</v>
      </c>
    </row>
    <row r="7" spans="1:13" s="15" customFormat="1" ht="12.75">
      <c r="C7" s="7" t="s">
        <v>208</v>
      </c>
      <c r="D7" s="17"/>
      <c r="E7" s="17"/>
      <c r="F7" s="17"/>
      <c r="G7" s="7" t="s">
        <v>203</v>
      </c>
      <c r="H7" s="17"/>
      <c r="I7" s="17"/>
      <c r="J7" s="17"/>
      <c r="K7" s="17"/>
      <c r="L7" s="17"/>
      <c r="M7" s="17"/>
    </row>
    <row r="8" spans="1:13" s="15" customFormat="1" ht="5.0999999999999996" customHeight="1"/>
    <row r="9" spans="1:13" s="15" customFormat="1" ht="11.25" customHeight="1">
      <c r="C9" s="284" t="s">
        <v>209</v>
      </c>
      <c r="D9" s="284"/>
      <c r="E9" s="284"/>
      <c r="F9" s="284"/>
      <c r="G9" s="281" t="s">
        <v>576</v>
      </c>
      <c r="H9" s="281"/>
      <c r="I9" s="281"/>
      <c r="J9" s="281"/>
      <c r="K9" s="281"/>
      <c r="L9" s="281"/>
      <c r="M9" s="281"/>
    </row>
    <row r="10" spans="1:13" s="15" customFormat="1" ht="11.25" customHeight="1">
      <c r="C10" s="284"/>
      <c r="D10" s="284"/>
      <c r="E10" s="284"/>
      <c r="F10" s="284"/>
      <c r="G10" s="281"/>
      <c r="H10" s="281"/>
      <c r="I10" s="281"/>
      <c r="J10" s="281"/>
      <c r="K10" s="281"/>
      <c r="L10" s="281"/>
      <c r="M10" s="281"/>
    </row>
    <row r="11" spans="1:13" s="15" customFormat="1">
      <c r="C11" s="286"/>
      <c r="D11" s="286"/>
      <c r="E11" s="286"/>
      <c r="F11" s="286"/>
      <c r="G11" s="281"/>
      <c r="H11" s="281"/>
      <c r="I11" s="281"/>
      <c r="J11" s="281"/>
      <c r="K11" s="281"/>
      <c r="L11" s="281"/>
      <c r="M11" s="281"/>
    </row>
    <row r="12" spans="1:13" s="15" customFormat="1" ht="5.0999999999999996" customHeight="1">
      <c r="C12" s="286"/>
      <c r="D12" s="286"/>
      <c r="E12" s="286"/>
      <c r="F12" s="286"/>
      <c r="G12" s="183"/>
      <c r="H12" s="183"/>
      <c r="I12" s="183"/>
      <c r="J12" s="183"/>
      <c r="K12" s="183"/>
      <c r="L12" s="183"/>
      <c r="M12" s="183"/>
    </row>
    <row r="13" spans="1:13" s="15" customFormat="1" ht="11.25" customHeight="1">
      <c r="C13" s="284" t="s">
        <v>210</v>
      </c>
      <c r="D13" s="284"/>
      <c r="E13" s="284"/>
      <c r="F13" s="284"/>
      <c r="G13" s="281" t="s">
        <v>211</v>
      </c>
      <c r="H13" s="281"/>
      <c r="I13" s="281"/>
      <c r="J13" s="281"/>
      <c r="K13" s="281"/>
      <c r="L13" s="281"/>
      <c r="M13" s="281"/>
    </row>
    <row r="14" spans="1:13" s="15" customFormat="1" ht="5.0999999999999996" customHeight="1">
      <c r="C14" s="286"/>
      <c r="D14" s="286"/>
      <c r="E14" s="286"/>
      <c r="F14" s="286"/>
      <c r="G14" s="260"/>
      <c r="H14" s="260"/>
      <c r="I14" s="260"/>
      <c r="J14" s="260"/>
      <c r="K14" s="260"/>
      <c r="L14" s="260"/>
      <c r="M14" s="260"/>
    </row>
    <row r="15" spans="1:13" s="15" customFormat="1">
      <c r="C15" s="286"/>
      <c r="D15" s="286"/>
      <c r="E15" s="286"/>
      <c r="F15" s="286"/>
      <c r="G15" s="288" t="s">
        <v>577</v>
      </c>
      <c r="H15" s="288"/>
      <c r="I15" s="288"/>
      <c r="J15" s="288"/>
      <c r="K15" s="288"/>
      <c r="L15" s="288"/>
      <c r="M15" s="288"/>
    </row>
    <row r="16" spans="1:13" s="15" customFormat="1">
      <c r="C16" s="286"/>
      <c r="D16" s="286"/>
      <c r="E16" s="286"/>
      <c r="F16" s="286"/>
      <c r="G16" s="288" t="s">
        <v>519</v>
      </c>
      <c r="H16" s="288"/>
      <c r="I16" s="288"/>
      <c r="J16" s="288"/>
      <c r="K16" s="288"/>
      <c r="L16" s="288"/>
      <c r="M16" s="288"/>
    </row>
    <row r="17" spans="3:13" s="15" customFormat="1">
      <c r="C17" s="286"/>
      <c r="D17" s="286"/>
      <c r="E17" s="286"/>
      <c r="F17" s="286"/>
      <c r="G17" s="288" t="s">
        <v>520</v>
      </c>
      <c r="H17" s="288"/>
      <c r="I17" s="288"/>
      <c r="J17" s="288"/>
      <c r="K17" s="288"/>
      <c r="L17" s="288"/>
      <c r="M17" s="288"/>
    </row>
    <row r="18" spans="3:13" s="15" customFormat="1" ht="5.0999999999999996" customHeight="1">
      <c r="C18" s="286"/>
      <c r="D18" s="286"/>
      <c r="E18" s="286"/>
      <c r="F18" s="286"/>
      <c r="G18" s="183"/>
      <c r="H18" s="183"/>
      <c r="I18" s="183"/>
      <c r="J18" s="183"/>
      <c r="K18" s="183"/>
      <c r="L18" s="183"/>
      <c r="M18" s="183"/>
    </row>
    <row r="19" spans="3:13" s="15" customFormat="1" ht="11.25" customHeight="1">
      <c r="C19" s="284" t="s">
        <v>212</v>
      </c>
      <c r="D19" s="284"/>
      <c r="E19" s="284"/>
      <c r="F19" s="284"/>
      <c r="G19" s="281" t="s">
        <v>518</v>
      </c>
      <c r="H19" s="281"/>
      <c r="I19" s="281"/>
      <c r="J19" s="281"/>
      <c r="K19" s="281"/>
      <c r="L19" s="281"/>
      <c r="M19" s="281"/>
    </row>
    <row r="20" spans="3:13" s="15" customFormat="1" ht="5.0999999999999996" customHeight="1">
      <c r="C20" s="286"/>
      <c r="D20" s="286"/>
      <c r="E20" s="286"/>
      <c r="F20" s="286"/>
      <c r="G20" s="183"/>
      <c r="H20" s="183"/>
      <c r="I20" s="183"/>
      <c r="J20" s="183"/>
      <c r="K20" s="183"/>
      <c r="L20" s="183"/>
      <c r="M20" s="183"/>
    </row>
    <row r="21" spans="3:13" s="15" customFormat="1" ht="11.25" customHeight="1">
      <c r="C21" s="284" t="s">
        <v>213</v>
      </c>
      <c r="D21" s="284"/>
      <c r="E21" s="284"/>
      <c r="F21" s="284"/>
      <c r="G21" s="281" t="s">
        <v>578</v>
      </c>
      <c r="H21" s="281"/>
      <c r="I21" s="281"/>
      <c r="J21" s="281"/>
      <c r="K21" s="281"/>
      <c r="L21" s="281"/>
      <c r="M21" s="281"/>
    </row>
    <row r="22" spans="3:13" s="15" customFormat="1" ht="5.0999999999999996" customHeight="1">
      <c r="C22" s="287"/>
      <c r="D22" s="287"/>
      <c r="E22" s="287"/>
      <c r="F22" s="287"/>
      <c r="G22" s="183"/>
      <c r="H22" s="183"/>
      <c r="I22" s="183"/>
      <c r="J22" s="183"/>
      <c r="K22" s="183"/>
      <c r="L22" s="183"/>
      <c r="M22" s="183"/>
    </row>
    <row r="23" spans="3:13" s="15" customFormat="1" ht="11.25" customHeight="1">
      <c r="C23" s="284" t="s">
        <v>289</v>
      </c>
      <c r="D23" s="284"/>
      <c r="E23" s="284"/>
      <c r="F23" s="284"/>
      <c r="G23" s="281" t="s">
        <v>579</v>
      </c>
      <c r="H23" s="281"/>
      <c r="I23" s="281"/>
      <c r="J23" s="281"/>
      <c r="K23" s="281"/>
      <c r="L23" s="281"/>
      <c r="M23" s="281"/>
    </row>
    <row r="24" spans="3:13" s="15" customFormat="1">
      <c r="C24" s="286"/>
      <c r="D24" s="286"/>
      <c r="E24" s="286"/>
      <c r="F24" s="286"/>
      <c r="G24" s="281"/>
      <c r="H24" s="281"/>
      <c r="I24" s="281"/>
      <c r="J24" s="281"/>
      <c r="K24" s="281"/>
      <c r="L24" s="281"/>
      <c r="M24" s="281"/>
    </row>
    <row r="25" spans="3:13" s="15" customFormat="1" ht="5.0999999999999996" customHeight="1">
      <c r="C25" s="287"/>
      <c r="D25" s="287"/>
      <c r="E25" s="287"/>
      <c r="F25" s="287"/>
      <c r="G25" s="183"/>
      <c r="H25" s="183"/>
      <c r="I25" s="183"/>
      <c r="J25" s="183"/>
      <c r="K25" s="183"/>
      <c r="L25" s="183"/>
      <c r="M25" s="183"/>
    </row>
    <row r="26" spans="3:13" s="15" customFormat="1" ht="11.25" customHeight="1">
      <c r="C26" s="284" t="s">
        <v>214</v>
      </c>
      <c r="D26" s="284"/>
      <c r="E26" s="284"/>
      <c r="F26" s="284"/>
      <c r="G26" s="281" t="s">
        <v>290</v>
      </c>
      <c r="H26" s="281"/>
      <c r="I26" s="281"/>
      <c r="J26" s="281"/>
      <c r="K26" s="281"/>
      <c r="L26" s="281"/>
      <c r="M26" s="281"/>
    </row>
    <row r="27" spans="3:13" s="15" customFormat="1" ht="11.25" customHeight="1">
      <c r="C27" s="284"/>
      <c r="D27" s="284"/>
      <c r="E27" s="284"/>
      <c r="F27" s="284"/>
      <c r="G27" s="281"/>
      <c r="H27" s="281"/>
      <c r="I27" s="281"/>
      <c r="J27" s="281"/>
      <c r="K27" s="281"/>
      <c r="L27" s="281"/>
      <c r="M27" s="281"/>
    </row>
    <row r="28" spans="3:13" s="15" customFormat="1" ht="11.25" customHeight="1">
      <c r="C28" s="284"/>
      <c r="D28" s="284"/>
      <c r="E28" s="284"/>
      <c r="F28" s="284"/>
      <c r="G28" s="281"/>
      <c r="H28" s="281"/>
      <c r="I28" s="281"/>
      <c r="J28" s="281"/>
      <c r="K28" s="281"/>
      <c r="L28" s="281"/>
      <c r="M28" s="281"/>
    </row>
    <row r="29" spans="3:13" s="15" customFormat="1" ht="11.25" customHeight="1">
      <c r="C29" s="285"/>
      <c r="D29" s="285"/>
      <c r="E29" s="285"/>
      <c r="F29" s="285"/>
      <c r="G29" s="281"/>
      <c r="H29" s="281"/>
      <c r="I29" s="281"/>
      <c r="J29" s="281"/>
      <c r="K29" s="281"/>
      <c r="L29" s="281"/>
      <c r="M29" s="281"/>
    </row>
    <row r="30" spans="3:13" s="15" customFormat="1" ht="5.0999999999999996" customHeight="1">
      <c r="C30" s="286"/>
      <c r="D30" s="286"/>
      <c r="E30" s="286"/>
      <c r="F30" s="286"/>
      <c r="G30" s="260"/>
      <c r="H30" s="260"/>
      <c r="I30" s="260"/>
      <c r="J30" s="260"/>
      <c r="K30" s="260"/>
      <c r="L30" s="260"/>
      <c r="M30" s="260"/>
    </row>
    <row r="31" spans="3:13" s="15" customFormat="1">
      <c r="C31" s="284" t="s">
        <v>215</v>
      </c>
      <c r="D31" s="284"/>
      <c r="E31" s="284"/>
      <c r="F31" s="284"/>
      <c r="G31" s="282" t="s">
        <v>216</v>
      </c>
      <c r="H31" s="282"/>
      <c r="I31" s="283" t="s">
        <v>46</v>
      </c>
      <c r="J31" s="283"/>
      <c r="K31" s="283"/>
      <c r="L31" s="283"/>
      <c r="M31" s="283"/>
    </row>
    <row r="32" spans="3:13" s="15" customFormat="1">
      <c r="C32" s="286"/>
      <c r="D32" s="286"/>
      <c r="E32" s="286"/>
      <c r="F32" s="286"/>
      <c r="G32" s="282" t="s">
        <v>217</v>
      </c>
      <c r="H32" s="282"/>
      <c r="I32" s="283" t="s">
        <v>572</v>
      </c>
      <c r="J32" s="283"/>
      <c r="K32" s="283"/>
      <c r="L32" s="283"/>
      <c r="M32" s="283"/>
    </row>
    <row r="33" spans="3:13" s="15" customFormat="1" ht="5.0999999999999996" customHeight="1">
      <c r="C33" s="286"/>
      <c r="D33" s="286"/>
      <c r="E33" s="286"/>
      <c r="F33" s="286"/>
      <c r="G33" s="260"/>
      <c r="H33" s="260"/>
      <c r="I33" s="260"/>
      <c r="J33" s="260"/>
      <c r="K33" s="260"/>
      <c r="L33" s="260"/>
      <c r="M33" s="260"/>
    </row>
    <row r="34" spans="3:13" s="15" customFormat="1">
      <c r="C34" s="286"/>
      <c r="D34" s="286"/>
      <c r="E34" s="286"/>
      <c r="F34" s="286"/>
      <c r="G34" s="282" t="s">
        <v>291</v>
      </c>
      <c r="H34" s="282"/>
      <c r="I34" s="282"/>
      <c r="J34" s="282"/>
      <c r="K34" s="282"/>
      <c r="L34" s="282"/>
      <c r="M34" s="282"/>
    </row>
    <row r="35" spans="3:13" s="15" customFormat="1" ht="5.0999999999999996" customHeight="1">
      <c r="C35" s="286"/>
      <c r="D35" s="286"/>
      <c r="E35" s="286"/>
      <c r="F35" s="286"/>
      <c r="G35" s="260"/>
      <c r="H35" s="260"/>
      <c r="I35" s="260"/>
      <c r="J35" s="260"/>
      <c r="K35" s="260"/>
      <c r="L35" s="260"/>
      <c r="M35" s="260"/>
    </row>
    <row r="36" spans="3:13" s="15" customFormat="1">
      <c r="C36" s="286"/>
      <c r="D36" s="286"/>
      <c r="E36" s="286"/>
      <c r="F36" s="286"/>
      <c r="G36" s="282" t="s">
        <v>218</v>
      </c>
      <c r="H36" s="282"/>
      <c r="I36" s="283" t="s">
        <v>574</v>
      </c>
      <c r="J36" s="283"/>
      <c r="K36" s="283"/>
      <c r="L36" s="283"/>
      <c r="M36" s="283"/>
    </row>
    <row r="37" spans="3:13" s="15" customFormat="1" ht="5.0999999999999996" customHeight="1">
      <c r="C37" s="17"/>
      <c r="D37" s="17"/>
      <c r="E37" s="17"/>
      <c r="F37" s="17"/>
      <c r="G37" s="17"/>
      <c r="H37" s="17"/>
      <c r="I37" s="17"/>
      <c r="J37" s="17"/>
      <c r="K37" s="17"/>
      <c r="L37" s="17"/>
      <c r="M37" s="17"/>
    </row>
    <row r="38" spans="3:13" s="15" customFormat="1"/>
    <row r="39" spans="3:13" s="15" customFormat="1"/>
    <row r="40" spans="3:13" s="15" customFormat="1"/>
    <row r="41" spans="3:13" s="15" customFormat="1"/>
    <row r="42" spans="3:13" s="15" customFormat="1"/>
    <row r="43" spans="3:13" s="15" customFormat="1"/>
    <row r="44" spans="3:13" s="15" customFormat="1"/>
    <row r="45" spans="3:13" s="15" customFormat="1"/>
    <row r="46" spans="3:13" s="15" customFormat="1"/>
    <row r="47" spans="3:13" s="15" customFormat="1"/>
    <row r="48" spans="3:13"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15" customFormat="1"/>
    <row r="66" s="15" customFormat="1"/>
    <row r="67" s="15" customFormat="1"/>
    <row r="68" s="15" customFormat="1"/>
    <row r="69" s="15" customFormat="1"/>
    <row r="70" s="15" customFormat="1"/>
    <row r="71" s="15" customFormat="1"/>
    <row r="72" s="15" customFormat="1"/>
    <row r="73" s="15" customFormat="1"/>
    <row r="74" s="15" customFormat="1"/>
    <row r="75" s="15" customFormat="1"/>
    <row r="76" s="15" customFormat="1"/>
    <row r="77" s="15" customFormat="1"/>
    <row r="78" s="15" customFormat="1"/>
    <row r="79" s="15" customFormat="1"/>
    <row r="80" s="15" customFormat="1"/>
    <row r="81" s="15" customFormat="1"/>
    <row r="82" s="15" customFormat="1"/>
    <row r="83" s="15" customFormat="1"/>
    <row r="84" s="15" customFormat="1"/>
    <row r="85" s="15" customFormat="1"/>
    <row r="86" s="15" customFormat="1"/>
    <row r="87" s="15" customFormat="1"/>
    <row r="88" s="15" customFormat="1"/>
    <row r="89" s="15" customFormat="1"/>
    <row r="90" s="15" customFormat="1"/>
    <row r="91" s="15" customFormat="1"/>
    <row r="92" s="15" customFormat="1"/>
    <row r="93" s="15" customFormat="1"/>
    <row r="94" s="15" customFormat="1"/>
    <row r="95" s="15" customFormat="1"/>
    <row r="96" s="15" customFormat="1"/>
    <row r="97" s="15" customFormat="1"/>
    <row r="98" s="15" customFormat="1"/>
    <row r="99" s="15" customFormat="1"/>
    <row r="100" s="15" customFormat="1"/>
    <row r="101" s="15" customFormat="1"/>
    <row r="102" s="15" customFormat="1"/>
    <row r="103" s="15" customFormat="1"/>
    <row r="104" s="15" customFormat="1"/>
    <row r="105" s="15" customFormat="1"/>
    <row r="106" s="15" customFormat="1"/>
    <row r="107" s="15" customFormat="1"/>
    <row r="108" s="15" customFormat="1"/>
    <row r="109" s="15" customFormat="1"/>
    <row r="110" s="15" customFormat="1"/>
    <row r="111" s="15" customFormat="1"/>
    <row r="112" s="15" customFormat="1"/>
    <row r="113" s="15" customFormat="1"/>
    <row r="114" s="15" customFormat="1"/>
    <row r="115" s="15" customFormat="1"/>
    <row r="116" s="15" customFormat="1"/>
    <row r="117" s="15" customFormat="1"/>
    <row r="118" s="15" customFormat="1"/>
    <row r="119" s="15" customFormat="1"/>
    <row r="120" s="15" customFormat="1"/>
    <row r="121" s="15" customFormat="1"/>
    <row r="122" s="15" customFormat="1"/>
    <row r="123" s="15" customFormat="1"/>
    <row r="124" s="15" customFormat="1"/>
  </sheetData>
  <mergeCells count="45">
    <mergeCell ref="G16:M16"/>
    <mergeCell ref="G17:M17"/>
    <mergeCell ref="B3:F3"/>
    <mergeCell ref="G9:M11"/>
    <mergeCell ref="G13:M13"/>
    <mergeCell ref="C20:F20"/>
    <mergeCell ref="C21:F21"/>
    <mergeCell ref="G19:M19"/>
    <mergeCell ref="C9:F9"/>
    <mergeCell ref="C10:F10"/>
    <mergeCell ref="C11:F11"/>
    <mergeCell ref="C12:F12"/>
    <mergeCell ref="C13:F13"/>
    <mergeCell ref="C14:F14"/>
    <mergeCell ref="C15:F15"/>
    <mergeCell ref="C16:F16"/>
    <mergeCell ref="C17:F17"/>
    <mergeCell ref="C18:F18"/>
    <mergeCell ref="G21:M21"/>
    <mergeCell ref="C19:F19"/>
    <mergeCell ref="G15:M15"/>
    <mergeCell ref="C22:F22"/>
    <mergeCell ref="C23:F23"/>
    <mergeCell ref="C24:F24"/>
    <mergeCell ref="C25:F25"/>
    <mergeCell ref="C26:F26"/>
    <mergeCell ref="G34:M34"/>
    <mergeCell ref="G36:H36"/>
    <mergeCell ref="I36:M36"/>
    <mergeCell ref="C27:F27"/>
    <mergeCell ref="C28:F28"/>
    <mergeCell ref="C29:F29"/>
    <mergeCell ref="C30:F30"/>
    <mergeCell ref="C31:F31"/>
    <mergeCell ref="C32:F32"/>
    <mergeCell ref="C33:F33"/>
    <mergeCell ref="C34:F34"/>
    <mergeCell ref="C35:F35"/>
    <mergeCell ref="C36:F36"/>
    <mergeCell ref="G23:M24"/>
    <mergeCell ref="G26:M29"/>
    <mergeCell ref="G31:H31"/>
    <mergeCell ref="I31:M31"/>
    <mergeCell ref="G32:H32"/>
    <mergeCell ref="I32:M32"/>
  </mergeCells>
  <hyperlinks>
    <hyperlink ref="I31" location="HL_Home" tooltip="Go to Table of Contents" display="HL_Home"/>
    <hyperlink ref="I31:J31" r:id="rId1" tooltip="Email BPM." display="Info@bpmglobal.com"/>
    <hyperlink ref="I36:M36" r:id="rId2" tooltip="View more examples of best practice models." display="www.bestpracticemodelling.com/downloads/example_models"/>
    <hyperlink ref="I32" r:id="rId3"/>
    <hyperlink ref="I36" r:id="rId4"/>
    <hyperlink ref="B3" location="HL_Home" tooltip="Go to Table of Contents" display="HL_Home"/>
    <hyperlink ref="A4" location="$B$5" tooltip="Go to Top of Sheet" display="$B$5"/>
    <hyperlink ref="B4" location="HL_Sheet_Main_3" tooltip="Go to Previous Sheet" display="HL_Sheet_Main_3"/>
    <hyperlink ref="C4" location="HL_Sheet_Main_6" tooltip="Go to Next Sheet" display="HL_Sheet_Main_6"/>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orientation="portrait" horizontalDpi="300" verticalDpi="300" r:id="rId5"/>
  <headerFooter>
    <oddFooter>&amp;L&amp;F
&amp;A
Printed: &amp;T on &amp;D&amp;CPage &amp;P of &amp;N</oddFooter>
  </headerFooter>
  <legacyDrawingHF r:id="rId6"/>
</worksheet>
</file>

<file path=xl/worksheets/sheet6.xml><?xml version="1.0" encoding="utf-8"?>
<worksheet xmlns="http://schemas.openxmlformats.org/spreadsheetml/2006/main" xmlns:r="http://schemas.openxmlformats.org/officeDocument/2006/relationships">
  <sheetPr codeName="Sheet6">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300</v>
      </c>
    </row>
    <row r="10" spans="3:7" ht="16.5">
      <c r="C10" s="27" t="s">
        <v>197</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461</v>
      </c>
    </row>
    <row r="18" spans="3:3">
      <c r="C18" s="26" t="s">
        <v>287</v>
      </c>
    </row>
    <row r="19" spans="3:3">
      <c r="C19" s="26"/>
    </row>
    <row r="20" spans="3:3">
      <c r="C20" s="26"/>
    </row>
  </sheetData>
  <mergeCells count="1">
    <mergeCell ref="C12:G12"/>
  </mergeCells>
  <hyperlinks>
    <hyperlink ref="C12" location="HL_Home" tooltip="Go to Table of Contents" display="HL_Home"/>
    <hyperlink ref="C13" location="HL_Sheet_Main" tooltip="Go to Previous Sheet" display="HL_Sheet_Main"/>
    <hyperlink ref="D13" location="HL_Sheet_Main_7" tooltip="Go to Next Sheet" display="HL_Sheet_Main_7"/>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7.xml><?xml version="1.0" encoding="utf-8"?>
<worksheet xmlns="http://schemas.openxmlformats.org/spreadsheetml/2006/main" xmlns:r="http://schemas.openxmlformats.org/officeDocument/2006/relationships">
  <sheetPr codeName="Sheet7">
    <pageSetUpPr autoPageBreaks="0"/>
  </sheetPr>
  <dimension ref="A1:N137"/>
  <sheetViews>
    <sheetView showGridLines="0" zoomScaleNormal="100" workbookViewId="0">
      <pane xSplit="1" ySplit="4" topLeftCell="B5" activePane="bottomRight" state="frozen"/>
      <selection activeCell="C11" sqref="C11:G11"/>
      <selection pane="topRight" activeCell="C11" sqref="C11:G11"/>
      <selection pane="bottomLeft" activeCell="C11" sqref="C11:G11"/>
      <selection pane="bottomRight"/>
    </sheetView>
  </sheetViews>
  <sheetFormatPr defaultRowHeight="10.5"/>
  <cols>
    <col min="1" max="5" width="3.83203125" customWidth="1"/>
    <col min="6" max="256" width="11.83203125" customWidth="1"/>
  </cols>
  <sheetData>
    <row r="1" spans="1:14" ht="18">
      <c r="B1" s="1" t="s">
        <v>300</v>
      </c>
    </row>
    <row r="2" spans="1:14" ht="15">
      <c r="B2" s="2" t="str">
        <f ca="1">Model_Name</f>
        <v>SMA 5. Assumption Entry Interfaces - Best Practice Model Example</v>
      </c>
    </row>
    <row r="3" spans="1:14">
      <c r="B3" s="272" t="s">
        <v>48</v>
      </c>
      <c r="C3" s="272"/>
      <c r="D3" s="272"/>
      <c r="E3" s="272"/>
      <c r="F3" s="272"/>
    </row>
    <row r="4" spans="1:14" ht="12.75">
      <c r="A4" s="10" t="s">
        <v>51</v>
      </c>
      <c r="B4" s="11" t="s">
        <v>53</v>
      </c>
      <c r="C4" s="12" t="s">
        <v>102</v>
      </c>
      <c r="D4" s="265" t="s">
        <v>205</v>
      </c>
      <c r="E4" s="265" t="s">
        <v>206</v>
      </c>
      <c r="F4" s="13" t="s">
        <v>207</v>
      </c>
    </row>
    <row r="5" spans="1:14" s="15" customFormat="1" ht="12.75">
      <c r="B5" s="11"/>
      <c r="C5" s="12"/>
      <c r="D5" s="263"/>
      <c r="E5" s="263"/>
      <c r="F5" s="13"/>
    </row>
    <row r="6" spans="1:14" s="15" customFormat="1" ht="12.75">
      <c r="A6" s="10"/>
      <c r="B6" s="11"/>
      <c r="C6" s="12"/>
      <c r="D6" s="263"/>
      <c r="E6" s="263"/>
      <c r="F6" s="13"/>
    </row>
    <row r="7" spans="1:14" s="15" customFormat="1" ht="12.75">
      <c r="A7" s="10"/>
      <c r="B7" s="32" t="s">
        <v>105</v>
      </c>
      <c r="C7" s="12"/>
      <c r="D7" s="263"/>
      <c r="E7" s="263"/>
      <c r="F7" s="13"/>
    </row>
    <row r="8" spans="1:14" s="15" customFormat="1" ht="12.75">
      <c r="A8" s="10"/>
      <c r="B8" s="11"/>
      <c r="C8" s="12"/>
      <c r="D8" s="263"/>
      <c r="E8" s="263"/>
      <c r="F8" s="13"/>
    </row>
    <row r="9" spans="1:14" s="15" customFormat="1" ht="12.75">
      <c r="A9" s="10"/>
      <c r="B9" s="11"/>
      <c r="C9" s="266"/>
      <c r="D9" s="34" t="s">
        <v>106</v>
      </c>
      <c r="E9" s="267"/>
      <c r="F9" s="268"/>
      <c r="G9" s="17"/>
      <c r="H9" s="34" t="s">
        <v>107</v>
      </c>
      <c r="I9" s="17"/>
      <c r="J9" s="17"/>
      <c r="K9" s="17"/>
      <c r="L9" s="17"/>
      <c r="M9" s="291" t="s">
        <v>108</v>
      </c>
      <c r="N9" s="291"/>
    </row>
    <row r="10" spans="1:14" s="15" customFormat="1" ht="5.0999999999999996" customHeight="1">
      <c r="A10" s="10"/>
      <c r="B10" s="11"/>
      <c r="C10" s="12"/>
      <c r="D10" s="263"/>
      <c r="E10" s="263"/>
      <c r="F10" s="13"/>
    </row>
    <row r="11" spans="1:14" s="15" customFormat="1" ht="12.75">
      <c r="A11" s="10"/>
      <c r="B11" s="11"/>
      <c r="C11" s="12"/>
      <c r="D11" s="25" t="s">
        <v>301</v>
      </c>
      <c r="E11" s="263"/>
      <c r="F11" s="13"/>
    </row>
    <row r="12" spans="1:14" s="15" customFormat="1" ht="5.0999999999999996" customHeight="1">
      <c r="A12" s="10"/>
      <c r="B12" s="11"/>
      <c r="C12" s="12"/>
      <c r="D12" s="263"/>
      <c r="E12" s="263"/>
      <c r="F12" s="13"/>
    </row>
    <row r="13" spans="1:14" s="15" customFormat="1" ht="12.75">
      <c r="A13" s="10"/>
      <c r="B13" s="11"/>
      <c r="C13" s="12"/>
      <c r="D13" s="293" t="s">
        <v>582</v>
      </c>
      <c r="E13" s="293"/>
      <c r="F13" s="293"/>
      <c r="G13" s="293"/>
      <c r="H13" s="293" t="s">
        <v>583</v>
      </c>
      <c r="I13" s="293"/>
      <c r="J13" s="293"/>
      <c r="K13" s="293"/>
      <c r="L13" s="293"/>
      <c r="M13" s="296" t="s">
        <v>582</v>
      </c>
      <c r="N13" s="296"/>
    </row>
    <row r="14" spans="1:14" s="15" customFormat="1" ht="5.0999999999999996" customHeight="1">
      <c r="A14" s="10"/>
      <c r="B14" s="11"/>
      <c r="C14" s="12"/>
      <c r="D14" s="263"/>
      <c r="E14" s="263"/>
      <c r="F14" s="13"/>
    </row>
    <row r="15" spans="1:14" s="15" customFormat="1" ht="12.75">
      <c r="A15" s="10"/>
      <c r="B15" s="11"/>
      <c r="C15" s="12"/>
      <c r="D15" s="293" t="s">
        <v>584</v>
      </c>
      <c r="E15" s="293"/>
      <c r="F15" s="293"/>
      <c r="G15" s="293"/>
      <c r="H15" s="293" t="s">
        <v>585</v>
      </c>
      <c r="I15" s="293"/>
      <c r="J15" s="293"/>
      <c r="K15" s="293"/>
      <c r="L15" s="293"/>
      <c r="M15" s="294" t="s">
        <v>584</v>
      </c>
      <c r="N15" s="294"/>
    </row>
    <row r="16" spans="1:14" s="15" customFormat="1" ht="5.0999999999999996" customHeight="1">
      <c r="A16" s="10"/>
      <c r="B16" s="11"/>
      <c r="C16" s="12"/>
      <c r="D16" s="263"/>
      <c r="E16" s="263"/>
      <c r="F16" s="13"/>
    </row>
    <row r="17" spans="1:14" s="15" customFormat="1" ht="12.75">
      <c r="A17" s="10"/>
      <c r="B17" s="11"/>
      <c r="C17" s="12"/>
      <c r="D17" s="293" t="s">
        <v>586</v>
      </c>
      <c r="E17" s="293"/>
      <c r="F17" s="293"/>
      <c r="G17" s="293"/>
      <c r="H17" s="293" t="s">
        <v>587</v>
      </c>
      <c r="I17" s="293"/>
      <c r="J17" s="293"/>
      <c r="K17" s="293"/>
      <c r="L17" s="293"/>
      <c r="M17" s="295" t="s">
        <v>586</v>
      </c>
      <c r="N17" s="295"/>
    </row>
    <row r="18" spans="1:14" s="15" customFormat="1" ht="12.75">
      <c r="A18" s="10"/>
      <c r="B18" s="11"/>
      <c r="C18" s="12"/>
      <c r="D18" s="293"/>
      <c r="E18" s="293"/>
      <c r="F18" s="293"/>
      <c r="G18" s="293"/>
      <c r="H18" s="293"/>
      <c r="I18" s="293"/>
      <c r="J18" s="293"/>
      <c r="K18" s="293"/>
      <c r="L18" s="293"/>
    </row>
    <row r="19" spans="1:14" s="15" customFormat="1" ht="5.0999999999999996" customHeight="1">
      <c r="A19" s="10"/>
      <c r="B19" s="11"/>
      <c r="C19" s="12"/>
      <c r="D19" s="263"/>
      <c r="E19" s="263"/>
      <c r="F19" s="13"/>
    </row>
    <row r="20" spans="1:14" s="15" customFormat="1" ht="12.75">
      <c r="A20" s="10"/>
      <c r="B20" s="11"/>
      <c r="C20" s="12"/>
      <c r="D20" s="293" t="s">
        <v>227</v>
      </c>
      <c r="E20" s="293"/>
      <c r="F20" s="293"/>
      <c r="G20" s="293"/>
      <c r="H20" s="293" t="s">
        <v>588</v>
      </c>
      <c r="I20" s="293"/>
      <c r="J20" s="293"/>
      <c r="K20" s="293"/>
      <c r="L20" s="293"/>
      <c r="M20" s="301" t="s">
        <v>227</v>
      </c>
      <c r="N20" s="301"/>
    </row>
    <row r="21" spans="1:14" s="15" customFormat="1" ht="5.0999999999999996" customHeight="1">
      <c r="A21" s="10"/>
      <c r="B21" s="11"/>
      <c r="C21" s="12"/>
      <c r="D21" s="263"/>
      <c r="E21" s="263"/>
      <c r="F21" s="13"/>
    </row>
    <row r="22" spans="1:14" s="15" customFormat="1" ht="5.0999999999999996" customHeight="1">
      <c r="A22" s="10"/>
      <c r="B22" s="11"/>
      <c r="C22" s="12"/>
      <c r="D22" s="263"/>
      <c r="E22" s="263"/>
      <c r="F22" s="13"/>
    </row>
    <row r="23" spans="1:14" s="15" customFormat="1" ht="12.75">
      <c r="A23" s="10"/>
      <c r="B23" s="11"/>
      <c r="C23" s="12"/>
      <c r="D23" s="293" t="s">
        <v>109</v>
      </c>
      <c r="E23" s="293"/>
      <c r="F23" s="293"/>
      <c r="G23" s="293"/>
      <c r="H23" s="293" t="s">
        <v>589</v>
      </c>
      <c r="I23" s="293"/>
      <c r="J23" s="293"/>
      <c r="K23" s="293"/>
      <c r="L23" s="293"/>
      <c r="M23" s="304" t="s">
        <v>109</v>
      </c>
      <c r="N23" s="304"/>
    </row>
    <row r="24" spans="1:14" s="15" customFormat="1" ht="12.75">
      <c r="A24" s="10"/>
      <c r="B24" s="11"/>
      <c r="C24" s="12"/>
      <c r="D24" s="293"/>
      <c r="E24" s="293"/>
      <c r="F24" s="293"/>
      <c r="G24" s="293"/>
      <c r="H24" s="293"/>
      <c r="I24" s="293"/>
      <c r="J24" s="293"/>
      <c r="K24" s="293"/>
      <c r="L24" s="293"/>
    </row>
    <row r="25" spans="1:14" s="15" customFormat="1" ht="5.0999999999999996" customHeight="1">
      <c r="A25" s="10"/>
      <c r="B25" s="11"/>
      <c r="C25" s="12"/>
      <c r="D25" s="263"/>
      <c r="E25" s="263"/>
      <c r="F25" s="13"/>
    </row>
    <row r="26" spans="1:14" s="15" customFormat="1" ht="12.75">
      <c r="A26" s="10"/>
      <c r="B26" s="11"/>
      <c r="C26" s="12"/>
      <c r="D26" s="25" t="s">
        <v>302</v>
      </c>
      <c r="E26" s="263"/>
      <c r="F26" s="13"/>
    </row>
    <row r="27" spans="1:14" s="15" customFormat="1" ht="5.0999999999999996" customHeight="1">
      <c r="A27" s="10"/>
      <c r="B27" s="11"/>
      <c r="C27" s="12"/>
      <c r="D27" s="263"/>
      <c r="E27" s="263"/>
      <c r="F27" s="13"/>
    </row>
    <row r="28" spans="1:14" s="15" customFormat="1" ht="12.75">
      <c r="A28" s="10"/>
      <c r="B28" s="11"/>
      <c r="C28" s="12"/>
      <c r="D28" s="293" t="s">
        <v>590</v>
      </c>
      <c r="E28" s="293"/>
      <c r="F28" s="293"/>
      <c r="G28" s="293"/>
      <c r="H28" s="293" t="s">
        <v>591</v>
      </c>
      <c r="I28" s="293"/>
      <c r="J28" s="293"/>
      <c r="K28" s="293"/>
      <c r="L28" s="293"/>
      <c r="M28" s="297"/>
      <c r="N28" s="298"/>
    </row>
    <row r="29" spans="1:14" s="15" customFormat="1" ht="5.0999999999999996" customHeight="1">
      <c r="A29" s="10"/>
      <c r="B29" s="11"/>
      <c r="C29" s="12"/>
      <c r="D29" s="263"/>
      <c r="E29" s="263"/>
      <c r="F29" s="13"/>
    </row>
    <row r="30" spans="1:14" s="15" customFormat="1" ht="12.75">
      <c r="A30" s="10"/>
      <c r="B30" s="11"/>
      <c r="C30" s="12"/>
      <c r="D30" s="293" t="s">
        <v>592</v>
      </c>
      <c r="E30" s="293"/>
      <c r="F30" s="293"/>
      <c r="G30" s="293"/>
      <c r="H30" s="293" t="s">
        <v>593</v>
      </c>
      <c r="I30" s="293"/>
      <c r="J30" s="293"/>
      <c r="K30" s="293"/>
      <c r="L30" s="293"/>
      <c r="M30" s="299"/>
      <c r="N30" s="300"/>
    </row>
    <row r="31" spans="1:14" s="15" customFormat="1" ht="12.75">
      <c r="A31" s="10"/>
      <c r="B31" s="11"/>
      <c r="C31" s="12"/>
      <c r="D31" s="293"/>
      <c r="E31" s="293"/>
      <c r="F31" s="293"/>
      <c r="G31" s="293"/>
      <c r="H31" s="293"/>
      <c r="I31" s="293"/>
      <c r="J31" s="293"/>
      <c r="K31" s="293"/>
      <c r="L31" s="293"/>
    </row>
    <row r="32" spans="1:14" s="15" customFormat="1" ht="5.0999999999999996" customHeight="1">
      <c r="A32" s="10"/>
      <c r="B32" s="11"/>
      <c r="C32" s="12"/>
      <c r="D32" s="263"/>
      <c r="E32" s="263"/>
      <c r="F32" s="13"/>
    </row>
    <row r="33" spans="1:14" s="15" customFormat="1" ht="12.75">
      <c r="A33" s="10"/>
      <c r="B33" s="11"/>
      <c r="C33" s="12"/>
      <c r="D33" s="293" t="s">
        <v>594</v>
      </c>
      <c r="E33" s="293"/>
      <c r="F33" s="293"/>
      <c r="G33" s="293"/>
      <c r="H33" s="293" t="s">
        <v>595</v>
      </c>
      <c r="I33" s="293"/>
      <c r="J33" s="293"/>
      <c r="K33" s="293"/>
      <c r="L33" s="293"/>
      <c r="M33" s="302"/>
      <c r="N33" s="303"/>
    </row>
    <row r="34" spans="1:14" s="15" customFormat="1" ht="12.75">
      <c r="A34" s="10"/>
      <c r="B34" s="11"/>
      <c r="C34" s="12"/>
      <c r="D34" s="293"/>
      <c r="E34" s="293"/>
      <c r="F34" s="293"/>
      <c r="G34" s="293"/>
      <c r="H34" s="293"/>
      <c r="I34" s="293"/>
      <c r="J34" s="293"/>
      <c r="K34" s="293"/>
      <c r="L34" s="293"/>
    </row>
    <row r="35" spans="1:14" s="15" customFormat="1" ht="5.0999999999999996" customHeight="1">
      <c r="A35" s="10"/>
      <c r="B35" s="11"/>
      <c r="C35" s="266"/>
      <c r="D35" s="267"/>
      <c r="E35" s="267"/>
      <c r="F35" s="268"/>
      <c r="G35" s="17"/>
      <c r="H35" s="17"/>
      <c r="I35" s="17"/>
      <c r="J35" s="17"/>
      <c r="K35" s="17"/>
      <c r="L35" s="17"/>
      <c r="M35" s="17"/>
      <c r="N35" s="17"/>
    </row>
    <row r="36" spans="1:14" s="15" customFormat="1" ht="12.75">
      <c r="A36" s="10"/>
      <c r="B36" s="11"/>
      <c r="C36" s="12"/>
      <c r="D36" s="263"/>
      <c r="E36" s="263"/>
      <c r="F36" s="13"/>
    </row>
    <row r="37" spans="1:14" s="15" customFormat="1" ht="12.75">
      <c r="A37" s="10"/>
      <c r="B37" s="11"/>
      <c r="C37" s="12"/>
      <c r="D37" s="263"/>
      <c r="E37" s="263"/>
      <c r="F37" s="13"/>
    </row>
    <row r="38" spans="1:14" s="15" customFormat="1" ht="12.75">
      <c r="A38" s="10"/>
      <c r="B38" s="11"/>
      <c r="C38" s="266"/>
      <c r="D38" s="34" t="s">
        <v>110</v>
      </c>
      <c r="E38" s="267"/>
      <c r="F38" s="268"/>
      <c r="G38" s="17"/>
      <c r="H38" s="34" t="s">
        <v>111</v>
      </c>
      <c r="I38" s="17"/>
      <c r="J38" s="17"/>
      <c r="K38" s="17"/>
      <c r="L38" s="17"/>
      <c r="M38" s="291" t="s">
        <v>108</v>
      </c>
      <c r="N38" s="291"/>
    </row>
    <row r="39" spans="1:14" s="15" customFormat="1" ht="5.0999999999999996" customHeight="1">
      <c r="A39" s="10"/>
      <c r="B39" s="11"/>
      <c r="C39" s="12"/>
      <c r="D39" s="263"/>
      <c r="E39" s="263"/>
      <c r="F39" s="13"/>
    </row>
    <row r="40" spans="1:14" s="15" customFormat="1" ht="12.75">
      <c r="A40" s="10"/>
      <c r="B40" s="11"/>
      <c r="C40" s="12"/>
      <c r="D40" s="293" t="s">
        <v>112</v>
      </c>
      <c r="E40" s="293"/>
      <c r="F40" s="293"/>
      <c r="G40" s="293"/>
      <c r="H40" s="293" t="s">
        <v>113</v>
      </c>
      <c r="I40" s="293"/>
      <c r="J40" s="293"/>
      <c r="K40" s="293"/>
      <c r="L40" s="293"/>
      <c r="M40" s="304" t="s">
        <v>303</v>
      </c>
      <c r="N40" s="304"/>
    </row>
    <row r="41" spans="1:14" s="15" customFormat="1" ht="5.0999999999999996" customHeight="1">
      <c r="A41" s="10"/>
      <c r="B41" s="11"/>
      <c r="C41" s="12"/>
      <c r="D41" s="263"/>
      <c r="E41" s="263"/>
      <c r="F41" s="13"/>
    </row>
    <row r="42" spans="1:14" s="15" customFormat="1" ht="12.75">
      <c r="A42" s="10"/>
      <c r="B42" s="11"/>
      <c r="C42" s="12"/>
      <c r="D42" s="293" t="s">
        <v>114</v>
      </c>
      <c r="E42" s="293"/>
      <c r="F42" s="293"/>
      <c r="G42" s="293"/>
      <c r="H42" s="293" t="s">
        <v>115</v>
      </c>
      <c r="I42" s="293"/>
      <c r="J42" s="293"/>
      <c r="K42" s="293"/>
      <c r="L42" s="293"/>
      <c r="M42" s="304" t="s">
        <v>304</v>
      </c>
      <c r="N42" s="304"/>
    </row>
    <row r="43" spans="1:14" s="15" customFormat="1" ht="5.0999999999999996" customHeight="1">
      <c r="A43" s="10"/>
      <c r="B43" s="11"/>
      <c r="C43" s="12"/>
      <c r="D43" s="263"/>
      <c r="E43" s="263"/>
      <c r="F43" s="13"/>
    </row>
    <row r="44" spans="1:14" s="15" customFormat="1" ht="12.75">
      <c r="A44" s="10"/>
      <c r="B44" s="11"/>
      <c r="C44" s="12"/>
      <c r="D44" s="293" t="s">
        <v>116</v>
      </c>
      <c r="E44" s="293"/>
      <c r="F44" s="293"/>
      <c r="G44" s="293"/>
      <c r="H44" s="293" t="s">
        <v>117</v>
      </c>
      <c r="I44" s="293"/>
      <c r="J44" s="293"/>
      <c r="K44" s="293"/>
      <c r="L44" s="293"/>
      <c r="M44" s="304" t="s">
        <v>118</v>
      </c>
      <c r="N44" s="304"/>
    </row>
    <row r="45" spans="1:14" s="15" customFormat="1" ht="5.0999999999999996" customHeight="1">
      <c r="A45" s="10"/>
      <c r="B45" s="11"/>
      <c r="C45" s="12"/>
      <c r="D45" s="263"/>
      <c r="E45" s="263"/>
      <c r="F45" s="13"/>
    </row>
    <row r="46" spans="1:14" s="15" customFormat="1" ht="12.75">
      <c r="A46" s="10"/>
      <c r="B46" s="11"/>
      <c r="C46" s="12"/>
      <c r="D46" s="293" t="s">
        <v>119</v>
      </c>
      <c r="E46" s="293"/>
      <c r="F46" s="293"/>
      <c r="G46" s="293"/>
      <c r="H46" s="293" t="s">
        <v>120</v>
      </c>
      <c r="I46" s="293"/>
      <c r="J46" s="293"/>
      <c r="K46" s="293"/>
      <c r="L46" s="293"/>
      <c r="M46" s="305" t="s">
        <v>51</v>
      </c>
      <c r="N46" s="305"/>
    </row>
    <row r="47" spans="1:14" s="15" customFormat="1" ht="5.0999999999999996" customHeight="1">
      <c r="A47" s="10"/>
      <c r="B47" s="11"/>
      <c r="C47" s="12"/>
      <c r="D47" s="263"/>
      <c r="E47" s="263"/>
      <c r="F47" s="13"/>
    </row>
    <row r="48" spans="1:14" s="15" customFormat="1" ht="12.75">
      <c r="A48" s="10"/>
      <c r="B48" s="11"/>
      <c r="C48" s="12"/>
      <c r="D48" s="293" t="s">
        <v>121</v>
      </c>
      <c r="E48" s="293"/>
      <c r="F48" s="293"/>
      <c r="G48" s="293"/>
      <c r="H48" s="293" t="s">
        <v>122</v>
      </c>
      <c r="I48" s="293"/>
      <c r="J48" s="293"/>
      <c r="K48" s="293"/>
      <c r="L48" s="293"/>
      <c r="M48" s="305" t="s">
        <v>53</v>
      </c>
      <c r="N48" s="305"/>
    </row>
    <row r="49" spans="1:14" s="15" customFormat="1" ht="5.0999999999999996" customHeight="1">
      <c r="A49" s="10"/>
      <c r="B49" s="11"/>
      <c r="C49" s="12"/>
      <c r="D49" s="263"/>
      <c r="E49" s="263"/>
      <c r="F49" s="13"/>
    </row>
    <row r="50" spans="1:14" s="15" customFormat="1" ht="12.75">
      <c r="A50" s="10"/>
      <c r="B50" s="11"/>
      <c r="C50" s="12"/>
      <c r="D50" s="293" t="s">
        <v>123</v>
      </c>
      <c r="E50" s="293"/>
      <c r="F50" s="293"/>
      <c r="G50" s="293"/>
      <c r="H50" s="293" t="s">
        <v>305</v>
      </c>
      <c r="I50" s="293"/>
      <c r="J50" s="293"/>
      <c r="K50" s="293"/>
      <c r="L50" s="293"/>
      <c r="M50" s="305" t="s">
        <v>102</v>
      </c>
      <c r="N50" s="305"/>
    </row>
    <row r="51" spans="1:14" s="15" customFormat="1" ht="5.0999999999999996" customHeight="1">
      <c r="A51" s="10"/>
      <c r="B51" s="11"/>
      <c r="C51" s="266"/>
      <c r="D51" s="267"/>
      <c r="E51" s="267"/>
      <c r="F51" s="268"/>
      <c r="G51" s="17"/>
      <c r="H51" s="17"/>
      <c r="I51" s="17"/>
      <c r="J51" s="17"/>
      <c r="K51" s="17"/>
      <c r="L51" s="17"/>
      <c r="M51" s="17"/>
      <c r="N51" s="17"/>
    </row>
    <row r="52" spans="1:14" s="15" customFormat="1" ht="12.75">
      <c r="A52" s="10"/>
      <c r="B52" s="11"/>
      <c r="C52" s="12"/>
      <c r="D52" s="263"/>
      <c r="E52" s="263"/>
      <c r="F52" s="13"/>
    </row>
    <row r="53" spans="1:14" s="15" customFormat="1" ht="12.75">
      <c r="A53" s="10"/>
      <c r="B53" s="11"/>
      <c r="C53" s="12"/>
      <c r="D53" s="263"/>
      <c r="E53" s="263"/>
      <c r="F53" s="13"/>
    </row>
    <row r="54" spans="1:14" s="15" customFormat="1" ht="12.75">
      <c r="A54" s="10"/>
      <c r="B54" s="32" t="s">
        <v>124</v>
      </c>
      <c r="C54" s="12"/>
      <c r="D54" s="263"/>
      <c r="E54" s="263"/>
      <c r="F54" s="13"/>
    </row>
    <row r="55" spans="1:14" s="15" customFormat="1" ht="12.75">
      <c r="A55" s="10"/>
      <c r="B55" s="11"/>
      <c r="C55" s="12"/>
      <c r="D55" s="263"/>
      <c r="E55" s="263"/>
      <c r="F55" s="13"/>
    </row>
    <row r="56" spans="1:14" s="15" customFormat="1" ht="12.75">
      <c r="A56" s="10"/>
      <c r="B56" s="11"/>
      <c r="C56" s="266"/>
      <c r="D56" s="34" t="s">
        <v>306</v>
      </c>
      <c r="E56" s="267"/>
      <c r="F56" s="268"/>
      <c r="G56" s="17"/>
      <c r="H56" s="34" t="s">
        <v>125</v>
      </c>
      <c r="I56" s="17"/>
      <c r="J56" s="17"/>
      <c r="K56" s="17"/>
      <c r="L56" s="17"/>
      <c r="M56" s="291" t="s">
        <v>307</v>
      </c>
      <c r="N56" s="291"/>
    </row>
    <row r="57" spans="1:14" s="15" customFormat="1" ht="5.0999999999999996" customHeight="1">
      <c r="A57" s="10"/>
      <c r="B57" s="11"/>
      <c r="C57" s="12"/>
      <c r="D57" s="263"/>
      <c r="E57" s="263"/>
      <c r="F57" s="13"/>
    </row>
    <row r="58" spans="1:14" s="15" customFormat="1" ht="12.75">
      <c r="A58" s="10"/>
      <c r="B58" s="11"/>
      <c r="C58" s="12"/>
      <c r="D58" s="293" t="s">
        <v>308</v>
      </c>
      <c r="E58" s="293"/>
      <c r="F58" s="293"/>
      <c r="G58" s="293"/>
      <c r="H58" s="293" t="s">
        <v>126</v>
      </c>
      <c r="I58" s="293"/>
      <c r="J58" s="293"/>
      <c r="K58" s="293"/>
      <c r="L58" s="293"/>
      <c r="M58" s="292" t="s">
        <v>309</v>
      </c>
      <c r="N58" s="292"/>
    </row>
    <row r="59" spans="1:14" s="15" customFormat="1" ht="5.0999999999999996" customHeight="1">
      <c r="A59" s="10"/>
      <c r="B59" s="11"/>
      <c r="C59" s="12"/>
      <c r="D59" s="263"/>
      <c r="E59" s="263"/>
      <c r="F59" s="13"/>
    </row>
    <row r="60" spans="1:14" s="15" customFormat="1" ht="12.75">
      <c r="A60" s="10"/>
      <c r="B60" s="11"/>
      <c r="C60" s="12"/>
      <c r="D60" s="293" t="s">
        <v>131</v>
      </c>
      <c r="E60" s="293"/>
      <c r="F60" s="293"/>
      <c r="G60" s="293"/>
      <c r="H60" s="293" t="s">
        <v>132</v>
      </c>
      <c r="I60" s="293"/>
      <c r="J60" s="293"/>
      <c r="K60" s="293"/>
      <c r="L60" s="293"/>
      <c r="M60" s="292" t="s">
        <v>133</v>
      </c>
      <c r="N60" s="292"/>
    </row>
    <row r="61" spans="1:14" s="15" customFormat="1" ht="5.0999999999999996" customHeight="1">
      <c r="A61" s="10"/>
      <c r="B61" s="11"/>
      <c r="C61" s="269"/>
      <c r="D61" s="270"/>
      <c r="E61" s="270"/>
      <c r="F61" s="271"/>
      <c r="G61" s="19"/>
      <c r="H61" s="19"/>
      <c r="I61" s="19"/>
      <c r="J61" s="19"/>
      <c r="K61" s="19"/>
      <c r="L61" s="19"/>
      <c r="M61" s="19"/>
      <c r="N61" s="19"/>
    </row>
    <row r="62" spans="1:14" s="15" customFormat="1" ht="5.0999999999999996" customHeight="1">
      <c r="A62" s="10"/>
      <c r="B62" s="11"/>
      <c r="C62" s="12"/>
      <c r="D62" s="263"/>
      <c r="E62" s="263"/>
      <c r="F62" s="13"/>
    </row>
    <row r="63" spans="1:14" s="15" customFormat="1" ht="12.75">
      <c r="A63" s="10"/>
      <c r="B63" s="11"/>
      <c r="C63" s="12"/>
      <c r="D63" s="293" t="s">
        <v>127</v>
      </c>
      <c r="E63" s="293"/>
      <c r="F63" s="293"/>
      <c r="G63" s="293"/>
      <c r="H63" s="293" t="s">
        <v>128</v>
      </c>
      <c r="I63" s="293"/>
      <c r="J63" s="293"/>
      <c r="K63" s="293"/>
      <c r="L63" s="293"/>
      <c r="M63" s="292" t="s">
        <v>103</v>
      </c>
      <c r="N63" s="292"/>
    </row>
    <row r="64" spans="1:14" s="15" customFormat="1" ht="5.0999999999999996" customHeight="1">
      <c r="A64" s="10"/>
      <c r="B64" s="11"/>
      <c r="C64" s="12"/>
      <c r="D64" s="263"/>
      <c r="E64" s="263"/>
      <c r="F64" s="13"/>
    </row>
    <row r="65" spans="1:14" s="15" customFormat="1" ht="12.75">
      <c r="A65" s="10"/>
      <c r="B65" s="11"/>
      <c r="C65" s="12"/>
      <c r="D65" s="293" t="s">
        <v>129</v>
      </c>
      <c r="E65" s="293"/>
      <c r="F65" s="293"/>
      <c r="G65" s="293"/>
      <c r="H65" s="293" t="s">
        <v>130</v>
      </c>
      <c r="I65" s="293"/>
      <c r="J65" s="293"/>
      <c r="K65" s="293"/>
      <c r="L65" s="293"/>
      <c r="M65" s="292" t="s">
        <v>104</v>
      </c>
      <c r="N65" s="292"/>
    </row>
    <row r="66" spans="1:14" s="15" customFormat="1" ht="5.0999999999999996" customHeight="1">
      <c r="A66" s="10"/>
      <c r="B66" s="11"/>
      <c r="C66" s="269"/>
      <c r="D66" s="270"/>
      <c r="E66" s="270"/>
      <c r="F66" s="271"/>
      <c r="G66" s="19"/>
      <c r="H66" s="19"/>
      <c r="I66" s="19"/>
      <c r="J66" s="19"/>
      <c r="K66" s="19"/>
      <c r="L66" s="19"/>
      <c r="M66" s="19"/>
      <c r="N66" s="19"/>
    </row>
    <row r="67" spans="1:14" s="15" customFormat="1" ht="5.0999999999999996" customHeight="1">
      <c r="A67" s="10"/>
      <c r="B67" s="11"/>
      <c r="C67" s="12"/>
      <c r="D67" s="263"/>
      <c r="E67" s="263"/>
      <c r="F67" s="13"/>
    </row>
    <row r="68" spans="1:14" s="15" customFormat="1" ht="12.75">
      <c r="A68" s="10"/>
      <c r="B68" s="11"/>
      <c r="C68" s="12"/>
      <c r="D68" s="293" t="s">
        <v>310</v>
      </c>
      <c r="E68" s="293"/>
      <c r="F68" s="293"/>
      <c r="G68" s="293"/>
      <c r="H68" s="293" t="s">
        <v>137</v>
      </c>
      <c r="I68" s="293"/>
      <c r="J68" s="293"/>
      <c r="K68" s="293"/>
      <c r="L68" s="293"/>
      <c r="M68" s="292" t="s">
        <v>138</v>
      </c>
      <c r="N68" s="292"/>
    </row>
    <row r="69" spans="1:14" s="15" customFormat="1" ht="5.0999999999999996" customHeight="1">
      <c r="A69" s="10"/>
      <c r="B69" s="11"/>
      <c r="C69" s="12"/>
      <c r="D69" s="263"/>
      <c r="E69" s="263"/>
      <c r="F69" s="13"/>
    </row>
    <row r="70" spans="1:14" s="15" customFormat="1" ht="12.75">
      <c r="A70" s="10"/>
      <c r="B70" s="11"/>
      <c r="C70" s="12"/>
      <c r="D70" s="293" t="s">
        <v>311</v>
      </c>
      <c r="E70" s="293"/>
      <c r="F70" s="293"/>
      <c r="G70" s="293"/>
      <c r="H70" s="293" t="s">
        <v>312</v>
      </c>
      <c r="I70" s="293"/>
      <c r="J70" s="293"/>
      <c r="K70" s="293"/>
      <c r="L70" s="293"/>
      <c r="M70" s="292" t="s">
        <v>313</v>
      </c>
      <c r="N70" s="292"/>
    </row>
    <row r="71" spans="1:14" s="15" customFormat="1" ht="12.75">
      <c r="A71" s="10"/>
      <c r="B71" s="11"/>
      <c r="C71" s="12"/>
      <c r="D71" s="293"/>
      <c r="E71" s="293"/>
      <c r="F71" s="293"/>
      <c r="G71" s="293"/>
      <c r="H71" s="293"/>
      <c r="I71" s="293"/>
      <c r="J71" s="293"/>
      <c r="K71" s="293"/>
      <c r="L71" s="293"/>
    </row>
    <row r="72" spans="1:14" s="15" customFormat="1" ht="5.0999999999999996" customHeight="1">
      <c r="A72" s="10"/>
      <c r="B72" s="11"/>
      <c r="C72" s="269"/>
      <c r="D72" s="270"/>
      <c r="E72" s="270"/>
      <c r="F72" s="271"/>
      <c r="G72" s="19"/>
      <c r="H72" s="19"/>
      <c r="I72" s="19"/>
      <c r="J72" s="19"/>
      <c r="K72" s="19"/>
      <c r="L72" s="19"/>
      <c r="M72" s="19"/>
      <c r="N72" s="19"/>
    </row>
    <row r="73" spans="1:14" s="15" customFormat="1" ht="5.0999999999999996" customHeight="1">
      <c r="A73" s="10"/>
      <c r="B73" s="11"/>
      <c r="C73" s="12"/>
      <c r="D73" s="263"/>
      <c r="E73" s="263"/>
      <c r="F73" s="13"/>
    </row>
    <row r="74" spans="1:14" s="15" customFormat="1" ht="12.75">
      <c r="A74" s="10"/>
      <c r="B74" s="11"/>
      <c r="C74" s="12"/>
      <c r="D74" s="293" t="s">
        <v>139</v>
      </c>
      <c r="E74" s="293"/>
      <c r="F74" s="293"/>
      <c r="G74" s="293"/>
      <c r="H74" s="293" t="s">
        <v>140</v>
      </c>
      <c r="I74" s="293"/>
      <c r="J74" s="293"/>
      <c r="K74" s="293"/>
      <c r="L74" s="293"/>
      <c r="M74" s="292" t="s">
        <v>601</v>
      </c>
      <c r="N74" s="292"/>
    </row>
    <row r="75" spans="1:14" s="15" customFormat="1" ht="5.0999999999999996" customHeight="1">
      <c r="A75" s="10"/>
      <c r="B75" s="11"/>
      <c r="C75" s="12"/>
      <c r="D75" s="263"/>
      <c r="E75" s="263"/>
      <c r="F75" s="13"/>
    </row>
    <row r="76" spans="1:14" s="15" customFormat="1" ht="12.75">
      <c r="A76" s="10"/>
      <c r="B76" s="11"/>
      <c r="C76" s="12"/>
      <c r="D76" s="293" t="s">
        <v>314</v>
      </c>
      <c r="E76" s="293"/>
      <c r="F76" s="293"/>
      <c r="G76" s="293"/>
      <c r="H76" s="293" t="s">
        <v>315</v>
      </c>
      <c r="I76" s="293"/>
      <c r="J76" s="293"/>
      <c r="K76" s="293"/>
      <c r="L76" s="293"/>
      <c r="M76" s="292" t="s">
        <v>316</v>
      </c>
      <c r="N76" s="292"/>
    </row>
    <row r="77" spans="1:14" s="15" customFormat="1" ht="12.75">
      <c r="A77" s="10"/>
      <c r="B77" s="11"/>
      <c r="C77" s="12"/>
      <c r="D77" s="293"/>
      <c r="E77" s="293"/>
      <c r="F77" s="293"/>
      <c r="G77" s="293"/>
      <c r="H77" s="293"/>
      <c r="I77" s="293"/>
      <c r="J77" s="293"/>
      <c r="K77" s="293"/>
      <c r="L77" s="293"/>
    </row>
    <row r="78" spans="1:14" s="15" customFormat="1" ht="5.0999999999999996" customHeight="1">
      <c r="A78" s="10"/>
      <c r="B78" s="11"/>
      <c r="C78" s="269"/>
      <c r="D78" s="270"/>
      <c r="E78" s="270"/>
      <c r="F78" s="271"/>
      <c r="G78" s="19"/>
      <c r="H78" s="19"/>
      <c r="I78" s="19"/>
      <c r="J78" s="19"/>
      <c r="K78" s="19"/>
      <c r="L78" s="19"/>
      <c r="M78" s="19"/>
      <c r="N78" s="19"/>
    </row>
    <row r="79" spans="1:14" s="15" customFormat="1" ht="5.0999999999999996" customHeight="1">
      <c r="A79" s="10"/>
      <c r="B79" s="11"/>
      <c r="C79" s="12"/>
      <c r="D79" s="263"/>
      <c r="E79" s="263"/>
      <c r="F79" s="13"/>
    </row>
    <row r="80" spans="1:14" s="15" customFormat="1" ht="12.75">
      <c r="A80" s="10"/>
      <c r="B80" s="11"/>
      <c r="C80" s="12"/>
      <c r="D80" s="293" t="s">
        <v>317</v>
      </c>
      <c r="E80" s="293"/>
      <c r="F80" s="293"/>
      <c r="G80" s="293"/>
      <c r="H80" s="293" t="s">
        <v>318</v>
      </c>
      <c r="I80" s="293"/>
      <c r="J80" s="293"/>
      <c r="K80" s="293"/>
      <c r="L80" s="293"/>
      <c r="M80" s="292" t="s">
        <v>319</v>
      </c>
      <c r="N80" s="292"/>
    </row>
    <row r="81" spans="1:14" s="15" customFormat="1" ht="12.75">
      <c r="A81" s="10"/>
      <c r="B81" s="11"/>
      <c r="C81" s="12"/>
      <c r="D81" s="293"/>
      <c r="E81" s="293"/>
      <c r="F81" s="293"/>
      <c r="G81" s="293"/>
      <c r="H81" s="293"/>
      <c r="I81" s="293"/>
      <c r="J81" s="293"/>
      <c r="K81" s="293"/>
      <c r="L81" s="293"/>
    </row>
    <row r="82" spans="1:14" s="15" customFormat="1" ht="5.0999999999999996" customHeight="1">
      <c r="A82" s="10"/>
      <c r="B82" s="11"/>
      <c r="C82" s="269"/>
      <c r="D82" s="270"/>
      <c r="E82" s="270"/>
      <c r="F82" s="271"/>
      <c r="G82" s="19"/>
      <c r="H82" s="19"/>
      <c r="I82" s="19"/>
      <c r="J82" s="19"/>
      <c r="K82" s="19"/>
      <c r="L82" s="19"/>
      <c r="M82" s="19"/>
      <c r="N82" s="19"/>
    </row>
    <row r="83" spans="1:14" s="15" customFormat="1" ht="5.0999999999999996" customHeight="1">
      <c r="A83" s="10"/>
      <c r="B83" s="11"/>
      <c r="C83" s="12"/>
      <c r="D83" s="263"/>
      <c r="E83" s="263"/>
      <c r="F83" s="13"/>
    </row>
    <row r="84" spans="1:14" s="15" customFormat="1" ht="12.75">
      <c r="A84" s="10"/>
      <c r="B84" s="11"/>
      <c r="C84" s="12"/>
      <c r="D84" s="293" t="s">
        <v>134</v>
      </c>
      <c r="E84" s="293"/>
      <c r="F84" s="293"/>
      <c r="G84" s="293"/>
      <c r="H84" s="293" t="s">
        <v>135</v>
      </c>
      <c r="I84" s="293"/>
      <c r="J84" s="293"/>
      <c r="K84" s="293"/>
      <c r="L84" s="293"/>
      <c r="M84" s="292" t="s">
        <v>136</v>
      </c>
      <c r="N84" s="292"/>
    </row>
    <row r="85" spans="1:14" s="15" customFormat="1" ht="5.0999999999999996" customHeight="1">
      <c r="A85" s="10"/>
      <c r="B85" s="11"/>
      <c r="C85" s="269"/>
      <c r="D85" s="270"/>
      <c r="E85" s="270"/>
      <c r="F85" s="271"/>
      <c r="G85" s="19"/>
      <c r="H85" s="19"/>
      <c r="I85" s="19"/>
      <c r="J85" s="19"/>
      <c r="K85" s="19"/>
      <c r="L85" s="19"/>
      <c r="M85" s="19"/>
      <c r="N85" s="19"/>
    </row>
    <row r="86" spans="1:14" s="15" customFormat="1" ht="5.0999999999999996" customHeight="1">
      <c r="A86" s="10"/>
      <c r="B86" s="11"/>
      <c r="C86" s="12"/>
      <c r="D86" s="263"/>
      <c r="E86" s="263"/>
      <c r="F86" s="13"/>
    </row>
    <row r="87" spans="1:14" s="15" customFormat="1" ht="12.75">
      <c r="A87" s="10"/>
      <c r="B87" s="11"/>
      <c r="C87" s="12"/>
      <c r="D87" s="293" t="s">
        <v>141</v>
      </c>
      <c r="E87" s="293"/>
      <c r="F87" s="293"/>
      <c r="G87" s="293"/>
      <c r="H87" s="293" t="s">
        <v>142</v>
      </c>
      <c r="I87" s="293"/>
      <c r="J87" s="293"/>
      <c r="K87" s="293"/>
      <c r="L87" s="293"/>
      <c r="M87" s="292" t="s">
        <v>143</v>
      </c>
      <c r="N87" s="292"/>
    </row>
    <row r="88" spans="1:14" s="15" customFormat="1" ht="5.0999999999999996" customHeight="1">
      <c r="A88" s="10"/>
      <c r="B88" s="11"/>
      <c r="C88" s="266"/>
      <c r="D88" s="267"/>
      <c r="E88" s="267"/>
      <c r="F88" s="268"/>
      <c r="G88" s="17"/>
      <c r="H88" s="17"/>
      <c r="I88" s="17"/>
      <c r="J88" s="17"/>
      <c r="K88" s="17"/>
      <c r="L88" s="17"/>
      <c r="M88" s="17"/>
      <c r="N88" s="17"/>
    </row>
    <row r="89" spans="1:14" s="15" customFormat="1" ht="5.0999999999999996" customHeight="1">
      <c r="A89" s="10"/>
      <c r="B89" s="11"/>
      <c r="C89" s="12"/>
      <c r="D89" s="263"/>
      <c r="E89" s="263"/>
      <c r="F89" s="13"/>
    </row>
    <row r="90" spans="1:14" s="15" customFormat="1" ht="12.75">
      <c r="A90" s="10"/>
      <c r="B90" s="11"/>
      <c r="C90" s="12"/>
      <c r="D90" s="293" t="s">
        <v>144</v>
      </c>
      <c r="E90" s="293"/>
      <c r="F90" s="293"/>
      <c r="G90" s="293"/>
      <c r="H90" s="293" t="s">
        <v>320</v>
      </c>
      <c r="I90" s="293"/>
      <c r="J90" s="293"/>
      <c r="K90" s="293"/>
      <c r="L90" s="293"/>
      <c r="M90" s="292" t="s">
        <v>145</v>
      </c>
      <c r="N90" s="292"/>
    </row>
    <row r="91" spans="1:14" s="15" customFormat="1" ht="12.75">
      <c r="A91" s="10"/>
      <c r="B91" s="11"/>
      <c r="C91" s="12"/>
      <c r="D91" s="293"/>
      <c r="E91" s="293"/>
      <c r="F91" s="293"/>
      <c r="G91" s="293"/>
      <c r="H91" s="293"/>
      <c r="I91" s="293"/>
      <c r="J91" s="293"/>
      <c r="K91" s="293"/>
      <c r="L91" s="293"/>
    </row>
    <row r="92" spans="1:14" s="15" customFormat="1" ht="5.0999999999999996" customHeight="1">
      <c r="A92" s="10"/>
      <c r="B92" s="11"/>
      <c r="C92" s="12"/>
      <c r="D92" s="263"/>
      <c r="E92" s="263"/>
      <c r="F92" s="13"/>
    </row>
    <row r="93" spans="1:14" s="15" customFormat="1" ht="12.75">
      <c r="A93" s="10"/>
      <c r="B93" s="11"/>
      <c r="C93" s="12"/>
      <c r="D93" s="293" t="s">
        <v>146</v>
      </c>
      <c r="E93" s="293"/>
      <c r="F93" s="293"/>
      <c r="G93" s="293"/>
      <c r="H93" s="293" t="s">
        <v>321</v>
      </c>
      <c r="I93" s="293"/>
      <c r="J93" s="293"/>
      <c r="K93" s="293"/>
      <c r="L93" s="293"/>
      <c r="M93" s="292" t="s">
        <v>147</v>
      </c>
      <c r="N93" s="292"/>
    </row>
    <row r="94" spans="1:14" s="15" customFormat="1" ht="12.75">
      <c r="A94" s="10"/>
      <c r="B94" s="11"/>
      <c r="C94" s="12"/>
      <c r="D94" s="293"/>
      <c r="E94" s="293"/>
      <c r="F94" s="293"/>
      <c r="G94" s="293"/>
      <c r="H94" s="293"/>
      <c r="I94" s="293"/>
      <c r="J94" s="293"/>
      <c r="K94" s="293"/>
      <c r="L94" s="293"/>
    </row>
    <row r="95" spans="1:14" s="15" customFormat="1" ht="5.0999999999999996" customHeight="1">
      <c r="A95" s="10"/>
      <c r="B95" s="11"/>
      <c r="C95" s="269"/>
      <c r="D95" s="270"/>
      <c r="E95" s="270"/>
      <c r="F95" s="271"/>
      <c r="G95" s="19"/>
      <c r="H95" s="19"/>
      <c r="I95" s="19"/>
      <c r="J95" s="19"/>
      <c r="K95" s="19"/>
      <c r="L95" s="19"/>
      <c r="M95" s="19"/>
      <c r="N95" s="19"/>
    </row>
    <row r="96" spans="1:14" s="15" customFormat="1" ht="5.0999999999999996" customHeight="1">
      <c r="A96" s="10"/>
      <c r="B96" s="11"/>
      <c r="C96" s="12"/>
      <c r="D96" s="263"/>
      <c r="E96" s="263"/>
      <c r="F96" s="13"/>
    </row>
    <row r="97" spans="1:14" s="15" customFormat="1" ht="12.75">
      <c r="A97" s="10"/>
      <c r="B97" s="11"/>
      <c r="C97" s="12"/>
      <c r="D97" s="293" t="s">
        <v>596</v>
      </c>
      <c r="E97" s="293"/>
      <c r="F97" s="293"/>
      <c r="G97" s="293"/>
      <c r="H97" s="293" t="s">
        <v>597</v>
      </c>
      <c r="I97" s="293"/>
      <c r="J97" s="293"/>
      <c r="K97" s="293"/>
      <c r="L97" s="293"/>
      <c r="M97" s="292" t="s">
        <v>598</v>
      </c>
      <c r="N97" s="292"/>
    </row>
    <row r="98" spans="1:14" s="15" customFormat="1" ht="12.75">
      <c r="A98" s="10"/>
      <c r="B98" s="11"/>
      <c r="C98" s="12"/>
      <c r="D98" s="293"/>
      <c r="E98" s="293"/>
      <c r="F98" s="293"/>
      <c r="G98" s="293"/>
      <c r="H98" s="293"/>
      <c r="I98" s="293"/>
      <c r="J98" s="293"/>
      <c r="K98" s="293"/>
      <c r="L98" s="293"/>
    </row>
    <row r="99" spans="1:14" s="15" customFormat="1" ht="5.0999999999999996" customHeight="1">
      <c r="A99" s="10"/>
      <c r="B99" s="11"/>
      <c r="C99" s="266"/>
      <c r="D99" s="267"/>
      <c r="E99" s="267"/>
      <c r="F99" s="268"/>
      <c r="G99" s="17"/>
      <c r="H99" s="17"/>
      <c r="I99" s="17"/>
      <c r="J99" s="17"/>
      <c r="K99" s="17"/>
      <c r="L99" s="17"/>
      <c r="M99" s="17"/>
      <c r="N99" s="17"/>
    </row>
    <row r="100" spans="1:14" s="15" customFormat="1" ht="12.75">
      <c r="A100" s="10"/>
      <c r="B100" s="11"/>
      <c r="C100" s="12"/>
      <c r="D100" s="263"/>
      <c r="E100" s="263"/>
      <c r="F100" s="13"/>
    </row>
    <row r="101" spans="1:14" s="15" customFormat="1" ht="12.75">
      <c r="A101" s="10"/>
      <c r="B101" s="11"/>
      <c r="C101" s="25" t="s">
        <v>599</v>
      </c>
      <c r="D101" s="263"/>
      <c r="E101" s="263"/>
      <c r="F101" s="13"/>
    </row>
    <row r="102" spans="1:14" s="15" customFormat="1" ht="12.75">
      <c r="A102" s="10"/>
      <c r="B102" s="11"/>
      <c r="C102" s="35" t="s">
        <v>322</v>
      </c>
      <c r="D102" s="263"/>
      <c r="E102" s="263"/>
      <c r="F102" s="13"/>
    </row>
    <row r="103" spans="1:14" s="15" customFormat="1" ht="12.75">
      <c r="A103" s="10"/>
      <c r="B103" s="11"/>
      <c r="C103" s="35" t="s">
        <v>600</v>
      </c>
      <c r="D103" s="263"/>
      <c r="E103" s="263"/>
      <c r="F103" s="13"/>
    </row>
    <row r="104" spans="1:14" s="15" customFormat="1" ht="12.75">
      <c r="A104" s="10"/>
      <c r="B104" s="11"/>
      <c r="C104" s="12"/>
      <c r="D104" s="263"/>
      <c r="E104" s="263"/>
      <c r="F104" s="13"/>
    </row>
    <row r="105" spans="1:14" s="15" customFormat="1" ht="12.75">
      <c r="A105" s="10"/>
      <c r="B105" s="11"/>
      <c r="C105" s="12"/>
      <c r="D105" s="263"/>
      <c r="E105" s="263"/>
      <c r="F105" s="13"/>
    </row>
    <row r="106" spans="1:14" s="15" customFormat="1" ht="12.75">
      <c r="A106" s="10"/>
      <c r="B106" s="32" t="s">
        <v>148</v>
      </c>
      <c r="C106" s="12"/>
      <c r="D106" s="263"/>
      <c r="E106" s="263"/>
      <c r="F106" s="13"/>
    </row>
    <row r="107" spans="1:14" s="15" customFormat="1" ht="12.75">
      <c r="A107" s="10"/>
      <c r="B107" s="11"/>
      <c r="C107" s="12"/>
      <c r="D107" s="263"/>
      <c r="E107" s="263"/>
      <c r="F107" s="13"/>
    </row>
    <row r="108" spans="1:14" s="15" customFormat="1" ht="12.75">
      <c r="A108" s="10"/>
      <c r="B108" s="11"/>
      <c r="C108" s="266"/>
      <c r="D108" s="34" t="s">
        <v>149</v>
      </c>
      <c r="E108" s="267"/>
      <c r="F108" s="268"/>
      <c r="G108" s="17"/>
      <c r="H108" s="34" t="s">
        <v>150</v>
      </c>
      <c r="I108" s="17"/>
      <c r="J108" s="17"/>
      <c r="K108" s="17"/>
      <c r="L108" s="17"/>
      <c r="M108" s="291" t="s">
        <v>151</v>
      </c>
      <c r="N108" s="291"/>
    </row>
    <row r="109" spans="1:14" s="15" customFormat="1" ht="5.0999999999999996" customHeight="1">
      <c r="A109" s="10"/>
      <c r="B109" s="11"/>
      <c r="C109" s="12"/>
      <c r="D109" s="263"/>
      <c r="E109" s="263"/>
      <c r="F109" s="13"/>
    </row>
    <row r="110" spans="1:14" s="15" customFormat="1" ht="12.75">
      <c r="A110" s="10"/>
      <c r="B110" s="11"/>
      <c r="C110" s="12"/>
      <c r="D110" s="289" t="s">
        <v>152</v>
      </c>
      <c r="E110" s="289"/>
      <c r="F110" s="289"/>
      <c r="G110" s="289"/>
      <c r="H110" s="289" t="s">
        <v>153</v>
      </c>
      <c r="I110" s="289"/>
      <c r="J110" s="289"/>
      <c r="K110" s="289"/>
      <c r="L110" s="289"/>
      <c r="M110" s="290" t="s">
        <v>154</v>
      </c>
      <c r="N110" s="290"/>
    </row>
    <row r="111" spans="1:14" s="15" customFormat="1" ht="5.0999999999999996" customHeight="1">
      <c r="A111" s="10"/>
      <c r="B111" s="11"/>
      <c r="C111" s="12"/>
      <c r="D111" s="263"/>
      <c r="E111" s="263"/>
      <c r="F111" s="13"/>
    </row>
    <row r="112" spans="1:14" s="15" customFormat="1" ht="12.75">
      <c r="A112" s="10"/>
      <c r="B112" s="11"/>
      <c r="C112" s="12"/>
      <c r="D112" s="289" t="s">
        <v>155</v>
      </c>
      <c r="E112" s="289"/>
      <c r="F112" s="289"/>
      <c r="G112" s="289"/>
      <c r="H112" s="289" t="s">
        <v>156</v>
      </c>
      <c r="I112" s="289"/>
      <c r="J112" s="289"/>
      <c r="K112" s="289"/>
      <c r="L112" s="289"/>
      <c r="M112" s="290" t="s">
        <v>157</v>
      </c>
      <c r="N112" s="290"/>
    </row>
    <row r="113" spans="1:14" s="15" customFormat="1" ht="5.0999999999999996" customHeight="1">
      <c r="A113" s="10"/>
      <c r="B113" s="11"/>
      <c r="C113" s="12"/>
      <c r="D113" s="263"/>
      <c r="E113" s="263"/>
      <c r="F113" s="13"/>
    </row>
    <row r="114" spans="1:14" s="15" customFormat="1" ht="12.75">
      <c r="A114" s="10"/>
      <c r="B114" s="11"/>
      <c r="C114" s="12"/>
      <c r="D114" s="289" t="s">
        <v>158</v>
      </c>
      <c r="E114" s="289"/>
      <c r="F114" s="289"/>
      <c r="G114" s="289"/>
      <c r="H114" s="289" t="s">
        <v>159</v>
      </c>
      <c r="I114" s="289"/>
      <c r="J114" s="289"/>
      <c r="K114" s="289"/>
      <c r="L114" s="289"/>
      <c r="M114" s="290" t="s">
        <v>160</v>
      </c>
      <c r="N114" s="290"/>
    </row>
    <row r="115" spans="1:14" s="15" customFormat="1" ht="5.0999999999999996" customHeight="1">
      <c r="A115" s="10"/>
      <c r="B115" s="11"/>
      <c r="C115" s="12"/>
      <c r="D115" s="263"/>
      <c r="E115" s="263"/>
      <c r="F115" s="13"/>
    </row>
    <row r="116" spans="1:14" s="15" customFormat="1" ht="12.75">
      <c r="A116" s="10"/>
      <c r="B116" s="11"/>
      <c r="C116" s="12"/>
      <c r="D116" s="289" t="s">
        <v>161</v>
      </c>
      <c r="E116" s="289"/>
      <c r="F116" s="289"/>
      <c r="G116" s="289"/>
      <c r="H116" s="289" t="s">
        <v>162</v>
      </c>
      <c r="I116" s="289"/>
      <c r="J116" s="289"/>
      <c r="K116" s="289"/>
      <c r="L116" s="289"/>
      <c r="M116" s="290" t="s">
        <v>163</v>
      </c>
      <c r="N116" s="290"/>
    </row>
    <row r="117" spans="1:14" s="15" customFormat="1" ht="5.0999999999999996" customHeight="1">
      <c r="A117" s="10"/>
      <c r="B117" s="11"/>
      <c r="C117" s="12"/>
      <c r="D117" s="263"/>
      <c r="E117" s="263"/>
      <c r="F117" s="13"/>
    </row>
    <row r="118" spans="1:14" s="15" customFormat="1" ht="12.75">
      <c r="A118" s="10"/>
      <c r="B118" s="11"/>
      <c r="C118" s="12"/>
      <c r="D118" s="289" t="s">
        <v>164</v>
      </c>
      <c r="E118" s="289"/>
      <c r="F118" s="289"/>
      <c r="G118" s="289"/>
      <c r="H118" s="289" t="s">
        <v>165</v>
      </c>
      <c r="I118" s="289"/>
      <c r="J118" s="289"/>
      <c r="K118" s="289"/>
      <c r="L118" s="289"/>
      <c r="M118" s="290" t="s">
        <v>166</v>
      </c>
      <c r="N118" s="290"/>
    </row>
    <row r="119" spans="1:14" s="15" customFormat="1" ht="5.0999999999999996" customHeight="1">
      <c r="A119" s="10"/>
      <c r="B119" s="11"/>
      <c r="C119" s="12"/>
      <c r="D119" s="263"/>
      <c r="E119" s="263"/>
      <c r="F119" s="13"/>
    </row>
    <row r="120" spans="1:14" s="15" customFormat="1" ht="12.75">
      <c r="A120" s="10"/>
      <c r="B120" s="11"/>
      <c r="C120" s="12"/>
      <c r="D120" s="289" t="s">
        <v>317</v>
      </c>
      <c r="E120" s="289"/>
      <c r="F120" s="289"/>
      <c r="G120" s="289"/>
      <c r="H120" s="289" t="s">
        <v>167</v>
      </c>
      <c r="I120" s="289"/>
      <c r="J120" s="289"/>
      <c r="K120" s="289"/>
      <c r="L120" s="289"/>
      <c r="M120" s="290" t="s">
        <v>168</v>
      </c>
      <c r="N120" s="290"/>
    </row>
    <row r="121" spans="1:14" s="15" customFormat="1" ht="5.0999999999999996" customHeight="1">
      <c r="A121" s="10"/>
      <c r="B121" s="11"/>
      <c r="C121" s="12"/>
      <c r="D121" s="263"/>
      <c r="E121" s="263"/>
      <c r="F121" s="13"/>
    </row>
    <row r="122" spans="1:14" s="15" customFormat="1" ht="12.75">
      <c r="A122" s="10"/>
      <c r="B122" s="11"/>
      <c r="C122" s="12"/>
      <c r="D122" s="289" t="s">
        <v>109</v>
      </c>
      <c r="E122" s="289"/>
      <c r="F122" s="289"/>
      <c r="G122" s="289"/>
      <c r="H122" s="289" t="s">
        <v>169</v>
      </c>
      <c r="I122" s="289"/>
      <c r="J122" s="289"/>
      <c r="K122" s="289"/>
      <c r="L122" s="289"/>
      <c r="M122" s="290" t="s">
        <v>170</v>
      </c>
      <c r="N122" s="290"/>
    </row>
    <row r="123" spans="1:14" s="15" customFormat="1" ht="5.0999999999999996" customHeight="1">
      <c r="A123" s="10"/>
      <c r="B123" s="11"/>
      <c r="C123" s="12"/>
      <c r="D123" s="263"/>
      <c r="E123" s="263"/>
      <c r="F123" s="13"/>
    </row>
    <row r="124" spans="1:14" s="15" customFormat="1" ht="12.75">
      <c r="A124" s="10"/>
      <c r="B124" s="11"/>
      <c r="C124" s="12"/>
      <c r="D124" s="289" t="s">
        <v>323</v>
      </c>
      <c r="E124" s="289"/>
      <c r="F124" s="289"/>
      <c r="G124" s="289"/>
      <c r="H124" s="289" t="s">
        <v>171</v>
      </c>
      <c r="I124" s="289"/>
      <c r="J124" s="289"/>
      <c r="K124" s="289"/>
      <c r="L124" s="289"/>
      <c r="M124" s="290" t="s">
        <v>172</v>
      </c>
      <c r="N124" s="290"/>
    </row>
    <row r="125" spans="1:14" s="15" customFormat="1" ht="5.0999999999999996" customHeight="1">
      <c r="A125" s="10"/>
      <c r="B125" s="11"/>
      <c r="C125" s="12"/>
      <c r="D125" s="263"/>
      <c r="E125" s="263"/>
      <c r="F125" s="13"/>
    </row>
    <row r="126" spans="1:14" s="15" customFormat="1" ht="12.75">
      <c r="A126" s="10"/>
      <c r="B126" s="11"/>
      <c r="C126" s="12"/>
      <c r="D126" s="289" t="s">
        <v>324</v>
      </c>
      <c r="E126" s="289"/>
      <c r="F126" s="289"/>
      <c r="G126" s="289"/>
      <c r="H126" s="289" t="s">
        <v>173</v>
      </c>
      <c r="I126" s="289"/>
      <c r="J126" s="289"/>
      <c r="K126" s="289"/>
      <c r="L126" s="289"/>
      <c r="M126" s="290" t="s">
        <v>174</v>
      </c>
      <c r="N126" s="290"/>
    </row>
    <row r="127" spans="1:14" s="15" customFormat="1" ht="5.0999999999999996" customHeight="1">
      <c r="A127" s="10"/>
      <c r="B127" s="11"/>
      <c r="C127" s="12"/>
      <c r="D127" s="263"/>
      <c r="E127" s="263"/>
      <c r="F127" s="13"/>
    </row>
    <row r="128" spans="1:14" s="15" customFormat="1" ht="12.75">
      <c r="A128" s="10"/>
      <c r="B128" s="11"/>
      <c r="C128" s="12"/>
      <c r="D128" s="289" t="s">
        <v>325</v>
      </c>
      <c r="E128" s="289"/>
      <c r="F128" s="289"/>
      <c r="G128" s="289"/>
      <c r="H128" s="289" t="s">
        <v>175</v>
      </c>
      <c r="I128" s="289"/>
      <c r="J128" s="289"/>
      <c r="K128" s="289"/>
      <c r="L128" s="289"/>
      <c r="M128" s="290" t="s">
        <v>176</v>
      </c>
      <c r="N128" s="290"/>
    </row>
    <row r="129" spans="1:14" s="15" customFormat="1" ht="5.0999999999999996" customHeight="1">
      <c r="A129" s="10"/>
      <c r="B129" s="11"/>
      <c r="C129" s="12"/>
      <c r="D129" s="263"/>
      <c r="E129" s="263"/>
      <c r="F129" s="13"/>
    </row>
    <row r="130" spans="1:14" s="15" customFormat="1" ht="12.75">
      <c r="A130" s="10"/>
      <c r="B130" s="11"/>
      <c r="C130" s="12"/>
      <c r="D130" s="289" t="s">
        <v>326</v>
      </c>
      <c r="E130" s="289"/>
      <c r="F130" s="289"/>
      <c r="G130" s="289"/>
      <c r="H130" s="289" t="s">
        <v>177</v>
      </c>
      <c r="I130" s="289"/>
      <c r="J130" s="289"/>
      <c r="K130" s="289"/>
      <c r="L130" s="289"/>
      <c r="M130" s="290" t="s">
        <v>178</v>
      </c>
      <c r="N130" s="290"/>
    </row>
    <row r="131" spans="1:14" s="15" customFormat="1" ht="5.0999999999999996" customHeight="1">
      <c r="A131" s="10"/>
      <c r="B131" s="11"/>
      <c r="C131" s="12"/>
      <c r="D131" s="263"/>
      <c r="E131" s="263"/>
      <c r="F131" s="13"/>
    </row>
    <row r="132" spans="1:14" s="15" customFormat="1" ht="12.75">
      <c r="A132" s="10"/>
      <c r="B132" s="11"/>
      <c r="C132" s="12"/>
      <c r="D132" s="289" t="s">
        <v>327</v>
      </c>
      <c r="E132" s="289"/>
      <c r="F132" s="289"/>
      <c r="G132" s="289"/>
      <c r="H132" s="289" t="s">
        <v>179</v>
      </c>
      <c r="I132" s="289"/>
      <c r="J132" s="289"/>
      <c r="K132" s="289"/>
      <c r="L132" s="289"/>
      <c r="M132" s="290" t="s">
        <v>180</v>
      </c>
      <c r="N132" s="290"/>
    </row>
    <row r="133" spans="1:14" s="15" customFormat="1" ht="5.0999999999999996" customHeight="1">
      <c r="A133" s="10"/>
      <c r="B133" s="11"/>
      <c r="C133" s="12"/>
      <c r="D133" s="263"/>
      <c r="E133" s="263"/>
      <c r="F133" s="13"/>
    </row>
    <row r="134" spans="1:14" s="15" customFormat="1" ht="12.75">
      <c r="A134" s="10"/>
      <c r="B134" s="11"/>
      <c r="C134" s="12"/>
      <c r="D134" s="289" t="s">
        <v>328</v>
      </c>
      <c r="E134" s="289"/>
      <c r="F134" s="289"/>
      <c r="G134" s="289"/>
      <c r="H134" s="289" t="s">
        <v>181</v>
      </c>
      <c r="I134" s="289"/>
      <c r="J134" s="289"/>
      <c r="K134" s="289"/>
      <c r="L134" s="289"/>
      <c r="M134" s="290" t="s">
        <v>182</v>
      </c>
      <c r="N134" s="290"/>
    </row>
    <row r="135" spans="1:14" s="15" customFormat="1" ht="5.0999999999999996" customHeight="1">
      <c r="A135" s="10"/>
      <c r="B135" s="11"/>
      <c r="C135" s="12"/>
      <c r="D135" s="263"/>
      <c r="E135" s="263"/>
      <c r="F135" s="13"/>
    </row>
    <row r="136" spans="1:14" s="15" customFormat="1" ht="12.75">
      <c r="A136" s="10"/>
      <c r="B136" s="11"/>
      <c r="C136" s="12"/>
      <c r="D136" s="289" t="s">
        <v>183</v>
      </c>
      <c r="E136" s="289"/>
      <c r="F136" s="289"/>
      <c r="G136" s="289"/>
      <c r="H136" s="289" t="s">
        <v>184</v>
      </c>
      <c r="I136" s="289"/>
      <c r="J136" s="289"/>
      <c r="K136" s="289"/>
      <c r="L136" s="289"/>
      <c r="M136" s="290" t="s">
        <v>185</v>
      </c>
      <c r="N136" s="290"/>
    </row>
    <row r="137" spans="1:14" s="15" customFormat="1" ht="5.0999999999999996" customHeight="1">
      <c r="A137" s="10"/>
      <c r="B137" s="11"/>
      <c r="C137" s="266"/>
      <c r="D137" s="267"/>
      <c r="E137" s="267"/>
      <c r="F137" s="268"/>
      <c r="G137" s="17"/>
      <c r="H137" s="17"/>
      <c r="I137" s="17"/>
      <c r="J137" s="17"/>
      <c r="K137" s="17"/>
      <c r="L137" s="17"/>
      <c r="M137" s="17"/>
      <c r="N137" s="17"/>
    </row>
  </sheetData>
  <mergeCells count="131">
    <mergeCell ref="B3:F3"/>
    <mergeCell ref="D50:G50"/>
    <mergeCell ref="H50:L50"/>
    <mergeCell ref="M50:N50"/>
    <mergeCell ref="D44:G44"/>
    <mergeCell ref="H44:L44"/>
    <mergeCell ref="M44:N44"/>
    <mergeCell ref="D46:G46"/>
    <mergeCell ref="H46:L46"/>
    <mergeCell ref="M46:N46"/>
    <mergeCell ref="M9:N9"/>
    <mergeCell ref="D40:G40"/>
    <mergeCell ref="H40:L40"/>
    <mergeCell ref="M40:N40"/>
    <mergeCell ref="D33:G34"/>
    <mergeCell ref="H33:L34"/>
    <mergeCell ref="D23:G24"/>
    <mergeCell ref="H23:L24"/>
    <mergeCell ref="D48:G48"/>
    <mergeCell ref="H48:L48"/>
    <mergeCell ref="M48:N48"/>
    <mergeCell ref="D42:G42"/>
    <mergeCell ref="H42:L42"/>
    <mergeCell ref="M42:N42"/>
    <mergeCell ref="M38:N38"/>
    <mergeCell ref="D28:G28"/>
    <mergeCell ref="H28:L28"/>
    <mergeCell ref="M28:N28"/>
    <mergeCell ref="M30:N30"/>
    <mergeCell ref="D30:G31"/>
    <mergeCell ref="H30:L31"/>
    <mergeCell ref="M20:N20"/>
    <mergeCell ref="D17:G18"/>
    <mergeCell ref="H17:L18"/>
    <mergeCell ref="M33:N33"/>
    <mergeCell ref="M23:N23"/>
    <mergeCell ref="D15:G15"/>
    <mergeCell ref="H15:L15"/>
    <mergeCell ref="M15:N15"/>
    <mergeCell ref="M17:N17"/>
    <mergeCell ref="D20:G20"/>
    <mergeCell ref="H20:L20"/>
    <mergeCell ref="D13:G13"/>
    <mergeCell ref="H13:L13"/>
    <mergeCell ref="M13:N13"/>
    <mergeCell ref="M56:N56"/>
    <mergeCell ref="D58:G58"/>
    <mergeCell ref="H58:L58"/>
    <mergeCell ref="M58:N58"/>
    <mergeCell ref="D60:G60"/>
    <mergeCell ref="H60:L60"/>
    <mergeCell ref="M60:N60"/>
    <mergeCell ref="D63:G63"/>
    <mergeCell ref="H63:L63"/>
    <mergeCell ref="M63:N63"/>
    <mergeCell ref="D65:G65"/>
    <mergeCell ref="H65:L65"/>
    <mergeCell ref="M65:N65"/>
    <mergeCell ref="D68:G68"/>
    <mergeCell ref="H68:L68"/>
    <mergeCell ref="M68:N68"/>
    <mergeCell ref="M70:N70"/>
    <mergeCell ref="D70:G71"/>
    <mergeCell ref="H70:L71"/>
    <mergeCell ref="D74:G74"/>
    <mergeCell ref="H74:L74"/>
    <mergeCell ref="M74:N74"/>
    <mergeCell ref="M76:N76"/>
    <mergeCell ref="D76:G77"/>
    <mergeCell ref="H76:L77"/>
    <mergeCell ref="M80:N80"/>
    <mergeCell ref="D80:G81"/>
    <mergeCell ref="H80:L81"/>
    <mergeCell ref="M93:N93"/>
    <mergeCell ref="D93:G94"/>
    <mergeCell ref="H93:L94"/>
    <mergeCell ref="M97:N97"/>
    <mergeCell ref="D97:G98"/>
    <mergeCell ref="H97:L98"/>
    <mergeCell ref="D84:G84"/>
    <mergeCell ref="H84:L84"/>
    <mergeCell ref="M84:N84"/>
    <mergeCell ref="D87:G87"/>
    <mergeCell ref="H87:L87"/>
    <mergeCell ref="M87:N87"/>
    <mergeCell ref="M90:N90"/>
    <mergeCell ref="D90:G91"/>
    <mergeCell ref="H90:L91"/>
    <mergeCell ref="M108:N108"/>
    <mergeCell ref="D110:G110"/>
    <mergeCell ref="H110:L110"/>
    <mergeCell ref="M110:N110"/>
    <mergeCell ref="D112:G112"/>
    <mergeCell ref="H112:L112"/>
    <mergeCell ref="M112:N112"/>
    <mergeCell ref="D114:G114"/>
    <mergeCell ref="H114:L114"/>
    <mergeCell ref="M114:N114"/>
    <mergeCell ref="D116:G116"/>
    <mergeCell ref="H116:L116"/>
    <mergeCell ref="M116:N116"/>
    <mergeCell ref="D118:G118"/>
    <mergeCell ref="H118:L118"/>
    <mergeCell ref="M118:N118"/>
    <mergeCell ref="D120:G120"/>
    <mergeCell ref="H120:L120"/>
    <mergeCell ref="M120:N120"/>
    <mergeCell ref="D122:G122"/>
    <mergeCell ref="H122:L122"/>
    <mergeCell ref="M122:N122"/>
    <mergeCell ref="D124:G124"/>
    <mergeCell ref="H124:L124"/>
    <mergeCell ref="M124:N124"/>
    <mergeCell ref="D126:G126"/>
    <mergeCell ref="H126:L126"/>
    <mergeCell ref="M126:N126"/>
    <mergeCell ref="D134:G134"/>
    <mergeCell ref="H134:L134"/>
    <mergeCell ref="M134:N134"/>
    <mergeCell ref="D136:G136"/>
    <mergeCell ref="H136:L136"/>
    <mergeCell ref="M136:N136"/>
    <mergeCell ref="D128:G128"/>
    <mergeCell ref="H128:L128"/>
    <mergeCell ref="M128:N128"/>
    <mergeCell ref="D130:G130"/>
    <mergeCell ref="H130:L130"/>
    <mergeCell ref="M130:N130"/>
    <mergeCell ref="D132:G132"/>
    <mergeCell ref="H132:L132"/>
    <mergeCell ref="M132:N132"/>
  </mergeCells>
  <hyperlinks>
    <hyperlink ref="B3" location="HL_Home" tooltip="Go to Table of Contents" display="HL_Home"/>
    <hyperlink ref="A4" location="$B$5" tooltip="Go to Top of Sheet" display="$B$5"/>
    <hyperlink ref="B4" location="HL_Sheet_Main_6" tooltip="Go to Previous Sheet" display="HL_Sheet_Main_6"/>
    <hyperlink ref="C4" location="HL_Sheet_Main_11" tooltip="Go to Next Sheet" display="HL_Sheet_Main_11"/>
    <hyperlink ref="D4" location="HL_Err_Chk" tooltip="Go to Error Checks" display="HL_Err_Chk"/>
    <hyperlink ref="E4" location="HL_Sens_Chk" tooltip="Go to Sensitivity Checks" display="HL_Sens_Chk"/>
    <hyperlink ref="F4" location="HL_Alt_Chk" tooltip="Go to Alert Checks" display="HL_Alt_Chk"/>
  </hyperlinks>
  <pageMargins left="0.39370078740157483" right="0.39370078740157483" top="0.59055118110236227" bottom="0.98425196850393704" header="0" footer="0.31496062992125984"/>
  <pageSetup paperSize="9" scale="80" orientation="landscape" r:id="rId1"/>
  <headerFooter>
    <oddFooter>&amp;L&amp;F
&amp;A
Printed: &amp;T on &amp;D&amp;CPage &amp;P of &amp;N</oddFooter>
  </headerFooter>
  <rowBreaks count="2" manualBreakCount="2">
    <brk id="53" min="1" max="13" man="1"/>
    <brk id="105" min="1" max="13" man="1"/>
  </rowBreaks>
  <legacyDrawingHF r:id="rId2"/>
</worksheet>
</file>

<file path=xl/worksheets/sheet8.xml><?xml version="1.0" encoding="utf-8"?>
<worksheet xmlns="http://schemas.openxmlformats.org/spreadsheetml/2006/main" xmlns:r="http://schemas.openxmlformats.org/officeDocument/2006/relationships">
  <sheetPr codeName="Sheet8">
    <pageSetUpPr autoPageBreaks="0" fitToPage="1"/>
  </sheetPr>
  <dimension ref="C9:G20"/>
  <sheetViews>
    <sheetView showGridLines="0" zoomScaleNormal="100" workbookViewId="0"/>
  </sheetViews>
  <sheetFormatPr defaultRowHeight="10.5"/>
  <cols>
    <col min="1" max="2" width="11.83203125" customWidth="1"/>
    <col min="3" max="6" width="3.83203125" customWidth="1"/>
    <col min="7" max="256" width="11.83203125" customWidth="1"/>
  </cols>
  <sheetData>
    <row r="9" spans="3:7" ht="18">
      <c r="C9" s="1" t="s">
        <v>396</v>
      </c>
    </row>
    <row r="10" spans="3:7" ht="16.5">
      <c r="C10" s="27" t="s">
        <v>199</v>
      </c>
    </row>
    <row r="11" spans="3:7" ht="15">
      <c r="C11" s="2" t="str">
        <f ca="1">Model_Name</f>
        <v>SMA 5. Assumption Entry Interfaces - Best Practice Model Example</v>
      </c>
    </row>
    <row r="12" spans="3:7">
      <c r="C12" s="272" t="s">
        <v>48</v>
      </c>
      <c r="D12" s="272"/>
      <c r="E12" s="272"/>
      <c r="F12" s="272"/>
      <c r="G12" s="272"/>
    </row>
    <row r="13" spans="3:7" ht="12.75">
      <c r="C13" s="11" t="s">
        <v>53</v>
      </c>
      <c r="D13" s="12" t="s">
        <v>102</v>
      </c>
    </row>
    <row r="17" spans="3:3">
      <c r="C17" s="25" t="s">
        <v>460</v>
      </c>
    </row>
    <row r="18" spans="3:3">
      <c r="C18" s="26" t="s">
        <v>386</v>
      </c>
    </row>
    <row r="19" spans="3:3">
      <c r="C19" s="26"/>
    </row>
    <row r="20" spans="3:3">
      <c r="C20" s="26"/>
    </row>
  </sheetData>
  <mergeCells count="1">
    <mergeCell ref="C12:G12"/>
  </mergeCells>
  <hyperlinks>
    <hyperlink ref="C12" location="HL_Home" tooltip="Go to Table of Contents" display="HL_Home"/>
    <hyperlink ref="C13" location="HL_Sheet_Main_7" tooltip="Go to Previous Sheet" display="HL_Sheet_Main_7"/>
    <hyperlink ref="D13" location="HL_Sheet_Main_4" tooltip="Go to Next Sheet" display="HL_Sheet_Main_4"/>
  </hyperlinks>
  <pageMargins left="0.39370078740157499" right="0.39370078740157499" top="0.59055118110236204" bottom="0.98425196850393704" header="0" footer="0.31496062992126"/>
  <pageSetup paperSize="9" orientation="landscape" r:id="rId1"/>
  <headerFooter>
    <oddFooter>&amp;L&amp;F
&amp;A
Printed: &amp;T on &amp;D&amp;CPage &amp;P of &amp;N</oddFooter>
  </headerFooter>
  <legacyDrawingHF r:id="rId2"/>
</worksheet>
</file>

<file path=xl/worksheets/sheet9.xml><?xml version="1.0" encoding="utf-8"?>
<worksheet xmlns="http://schemas.openxmlformats.org/spreadsheetml/2006/main" xmlns:r="http://schemas.openxmlformats.org/officeDocument/2006/relationships">
  <sheetPr codeName="Sheet9">
    <pageSetUpPr autoPageBreaks="0" fitToPage="1"/>
  </sheetPr>
  <dimension ref="C9:K20"/>
  <sheetViews>
    <sheetView showGridLines="0" zoomScaleNormal="100" workbookViewId="0"/>
  </sheetViews>
  <sheetFormatPr defaultColWidth="11.83203125" defaultRowHeight="10.5"/>
  <cols>
    <col min="3" max="6" width="3.83203125" customWidth="1"/>
  </cols>
  <sheetData>
    <row r="9" spans="3:11" ht="18">
      <c r="C9" s="1" t="s">
        <v>329</v>
      </c>
    </row>
    <row r="10" spans="3:11" ht="16.5">
      <c r="C10" s="27" t="s">
        <v>504</v>
      </c>
    </row>
    <row r="11" spans="3:11" ht="15">
      <c r="C11" s="2" t="str">
        <f ca="1">Model_Name</f>
        <v>SMA 5. Assumption Entry Interfaces - Best Practice Model Example</v>
      </c>
    </row>
    <row r="12" spans="3:11">
      <c r="C12" s="272" t="s">
        <v>48</v>
      </c>
      <c r="D12" s="272"/>
      <c r="E12" s="272"/>
      <c r="F12" s="272"/>
      <c r="G12" s="272"/>
    </row>
    <row r="13" spans="3:11" ht="12.75">
      <c r="C13" s="11" t="s">
        <v>53</v>
      </c>
      <c r="D13" s="12" t="s">
        <v>102</v>
      </c>
      <c r="J13" s="24"/>
      <c r="K13" s="24"/>
    </row>
    <row r="14" spans="3:11">
      <c r="J14" s="24"/>
      <c r="K14" s="24"/>
    </row>
    <row r="15" spans="3:11">
      <c r="J15" s="24"/>
      <c r="K15" s="24"/>
    </row>
    <row r="16" spans="3:11">
      <c r="J16" s="24"/>
      <c r="K16" s="24"/>
    </row>
    <row r="17" spans="3:3">
      <c r="C17" s="25" t="s">
        <v>498</v>
      </c>
    </row>
    <row r="18" spans="3:3">
      <c r="C18" s="177" t="s">
        <v>499</v>
      </c>
    </row>
    <row r="19" spans="3:3">
      <c r="C19" s="177"/>
    </row>
    <row r="20" spans="3:3">
      <c r="C20" s="177"/>
    </row>
  </sheetData>
  <mergeCells count="1">
    <mergeCell ref="C12:G12"/>
  </mergeCells>
  <hyperlinks>
    <hyperlink ref="C12" location="HL_Home" tooltip="Go to Table of Contents" display="HL_Home"/>
    <hyperlink ref="C13" location="HL_Sheet_Main_11" tooltip="Go to Previous Sheet" display="HL_Sheet_Main_11"/>
    <hyperlink ref="D13" location="HL_Sheet_Main_10" tooltip="Go to Next Sheet" display="HL_Sheet_Main_10"/>
  </hyperlinks>
  <pageMargins left="0.39370078740157499" right="0.39370078740157499" top="0.59055118110236204" bottom="0.98425196850393704" header="0" footer="0.31496062992126"/>
  <pageSetup paperSize="9" orientation="landscape" horizontalDpi="300" verticalDpi="300" r:id="rId1"/>
  <headerFooter>
    <oddFooter>&amp;L&amp;F
&amp;A
Printed: &amp;T on &amp;D&amp;CPage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158</vt:i4>
      </vt:variant>
    </vt:vector>
  </HeadingPairs>
  <TitlesOfParts>
    <vt:vector size="197" baseType="lpstr">
      <vt:lpstr>Cover</vt:lpstr>
      <vt:lpstr>Contents</vt:lpstr>
      <vt:lpstr>Overview_SC</vt:lpstr>
      <vt:lpstr>Notes_SSC</vt:lpstr>
      <vt:lpstr>Notes_BO</vt:lpstr>
      <vt:lpstr>Keys_SSC</vt:lpstr>
      <vt:lpstr>Keys_BO</vt:lpstr>
      <vt:lpstr>Assumptions_SC</vt:lpstr>
      <vt:lpstr>TS_Ass_SSC</vt:lpstr>
      <vt:lpstr>TS_BA</vt:lpstr>
      <vt:lpstr>Hist_Ass_SSC</vt:lpstr>
      <vt:lpstr>IS_Hist_TA</vt:lpstr>
      <vt:lpstr>BS_Hist_TA</vt:lpstr>
      <vt:lpstr>CFS_Hist_TA</vt:lpstr>
      <vt:lpstr>Fcast_Ass_SSC</vt:lpstr>
      <vt:lpstr>Fcast_TA</vt:lpstr>
      <vt:lpstr>Outputs_SC</vt:lpstr>
      <vt:lpstr>Hist_OP_SSC</vt:lpstr>
      <vt:lpstr>IS_Hist_TO</vt:lpstr>
      <vt:lpstr>BS_Hist_TO</vt:lpstr>
      <vt:lpstr>CFS_Hist_TO</vt:lpstr>
      <vt:lpstr>Fcast_OP_SSC</vt:lpstr>
      <vt:lpstr>Fcast_OP_TO</vt:lpstr>
      <vt:lpstr>IS_Fcast_TO</vt:lpstr>
      <vt:lpstr>BS_Fcast_TO</vt:lpstr>
      <vt:lpstr>CFS_Fcast_TO</vt:lpstr>
      <vt:lpstr>All_Pers_OP_SSC</vt:lpstr>
      <vt:lpstr>IS_All_TO</vt:lpstr>
      <vt:lpstr>BS_All_TO</vt:lpstr>
      <vt:lpstr>CFS_All_TO</vt:lpstr>
      <vt:lpstr>Dashboards_SSC</vt:lpstr>
      <vt:lpstr>BS_Sum_P_MS</vt:lpstr>
      <vt:lpstr>Appendices_SC</vt:lpstr>
      <vt:lpstr>Checks_SSC</vt:lpstr>
      <vt:lpstr>Checks_BO</vt:lpstr>
      <vt:lpstr>LU_SSC</vt:lpstr>
      <vt:lpstr>TS_LU</vt:lpstr>
      <vt:lpstr>Capital_LU</vt:lpstr>
      <vt:lpstr>Dashboards_LU</vt:lpstr>
      <vt:lpstr>Alt_Chks_Msg</vt:lpstr>
      <vt:lpstr>Alt_Chks_Ttl_Areas</vt:lpstr>
      <vt:lpstr>Annual</vt:lpstr>
      <vt:lpstr>Billion</vt:lpstr>
      <vt:lpstr>Billions</vt:lpstr>
      <vt:lpstr>CA_Alt_Chks</vt:lpstr>
      <vt:lpstr>CA_Alt_Chks_Area_Names</vt:lpstr>
      <vt:lpstr>CA_Alt_Chks_Flags</vt:lpstr>
      <vt:lpstr>CA_Alt_Chks_Inc</vt:lpstr>
      <vt:lpstr>CA_Err_Chks</vt:lpstr>
      <vt:lpstr>CA_Err_Chks_Area_Names</vt:lpstr>
      <vt:lpstr>CA_Err_Chks_Flags</vt:lpstr>
      <vt:lpstr>CA_Err_Chks_Inc</vt:lpstr>
      <vt:lpstr>CA_Sens_Chks</vt:lpstr>
      <vt:lpstr>CA_Sens_Chks_Area_Names</vt:lpstr>
      <vt:lpstr>CA_Sens_Chks_Flags</vt:lpstr>
      <vt:lpstr>CA_Sens_Chks_Inc</vt:lpstr>
      <vt:lpstr>CB_Alt_Chks_Show_Msg</vt:lpstr>
      <vt:lpstr>CB_Eq_Ord_Cash_Limit_Div</vt:lpstr>
      <vt:lpstr>CB_Eq_Ord_Inc_Open_RP_In_NPAT</vt:lpstr>
      <vt:lpstr>CB_Err_Chks_Show_Msg</vt:lpstr>
      <vt:lpstr>CB_Sens_Chks_Show_Msg</vt:lpstr>
      <vt:lpstr>CB_TS_Show_Hist_Fcast_Pers</vt:lpstr>
      <vt:lpstr>Currency</vt:lpstr>
      <vt:lpstr>DD_Eq_Ord_Div_Meth</vt:lpstr>
      <vt:lpstr>DD_TS_Data_Term_Basis</vt:lpstr>
      <vt:lpstr>DD_TS_Denom</vt:lpstr>
      <vt:lpstr>DD_TS_Fin_YE_Day</vt:lpstr>
      <vt:lpstr>DD_TS_Fin_YE_Mth</vt:lpstr>
      <vt:lpstr>Err_Chks_Msg</vt:lpstr>
      <vt:lpstr>Err_Chks_Ttl_Areas</vt:lpstr>
      <vt:lpstr>Half_Yr_Name</vt:lpstr>
      <vt:lpstr>Halves_In_Yr</vt:lpstr>
      <vt:lpstr>HL_Alt_Chk</vt:lpstr>
      <vt:lpstr>HL_Err_Chk</vt:lpstr>
      <vt:lpstr>HL_Home</vt:lpstr>
      <vt:lpstr>HL_Sens_Chk</vt:lpstr>
      <vt:lpstr>Hundred</vt:lpstr>
      <vt:lpstr>LI_Tax_Base_Nom_Opex_Base_Nom_Cat_1</vt:lpstr>
      <vt:lpstr>LO_BS_Base_Nom_OP_Cash_Open</vt:lpstr>
      <vt:lpstr>LU_Dashboard_Selected_Period</vt:lpstr>
      <vt:lpstr>LU_Data_Term_Basis</vt:lpstr>
      <vt:lpstr>LU_Denom</vt:lpstr>
      <vt:lpstr>LU_Eq_Ord_Div_Meth</vt:lpstr>
      <vt:lpstr>LU_Mth_Days</vt:lpstr>
      <vt:lpstr>LU_Mth_Names</vt:lpstr>
      <vt:lpstr>LU_Period_Type_Names</vt:lpstr>
      <vt:lpstr>LU_Periodicity</vt:lpstr>
      <vt:lpstr>LU_Pers_In_Yr</vt:lpstr>
      <vt:lpstr>Million</vt:lpstr>
      <vt:lpstr>Millions</vt:lpstr>
      <vt:lpstr>Model_Name</vt:lpstr>
      <vt:lpstr>Mth_Name</vt:lpstr>
      <vt:lpstr>Mthly</vt:lpstr>
      <vt:lpstr>Mths_In_Yr</vt:lpstr>
      <vt:lpstr>All_Pers_OP_SSC!Print_Area</vt:lpstr>
      <vt:lpstr>Appendices_SC!Print_Area</vt:lpstr>
      <vt:lpstr>Assumptions_SC!Print_Area</vt:lpstr>
      <vt:lpstr>BS_All_TO!Print_Area</vt:lpstr>
      <vt:lpstr>BS_Fcast_TO!Print_Area</vt:lpstr>
      <vt:lpstr>BS_Hist_TA!Print_Area</vt:lpstr>
      <vt:lpstr>BS_Hist_TO!Print_Area</vt:lpstr>
      <vt:lpstr>BS_Sum_P_MS!Print_Area</vt:lpstr>
      <vt:lpstr>Capital_LU!Print_Area</vt:lpstr>
      <vt:lpstr>CFS_All_TO!Print_Area</vt:lpstr>
      <vt:lpstr>CFS_Fcast_TO!Print_Area</vt:lpstr>
      <vt:lpstr>CFS_Hist_TA!Print_Area</vt:lpstr>
      <vt:lpstr>CFS_Hist_TO!Print_Area</vt:lpstr>
      <vt:lpstr>Checks_BO!Print_Area</vt:lpstr>
      <vt:lpstr>Checks_SSC!Print_Area</vt:lpstr>
      <vt:lpstr>Contents!Print_Area</vt:lpstr>
      <vt:lpstr>Cover!Print_Area</vt:lpstr>
      <vt:lpstr>Dashboards_LU!Print_Area</vt:lpstr>
      <vt:lpstr>Dashboards_SSC!Print_Area</vt:lpstr>
      <vt:lpstr>Fcast_Ass_SSC!Print_Area</vt:lpstr>
      <vt:lpstr>Fcast_OP_SSC!Print_Area</vt:lpstr>
      <vt:lpstr>Fcast_OP_TO!Print_Area</vt:lpstr>
      <vt:lpstr>Fcast_TA!Print_Area</vt:lpstr>
      <vt:lpstr>Hist_Ass_SSC!Print_Area</vt:lpstr>
      <vt:lpstr>Hist_OP_SSC!Print_Area</vt:lpstr>
      <vt:lpstr>IS_All_TO!Print_Area</vt:lpstr>
      <vt:lpstr>IS_Fcast_TO!Print_Area</vt:lpstr>
      <vt:lpstr>IS_Hist_TA!Print_Area</vt:lpstr>
      <vt:lpstr>IS_Hist_TO!Print_Area</vt:lpstr>
      <vt:lpstr>Keys_BO!Print_Area</vt:lpstr>
      <vt:lpstr>Keys_SSC!Print_Area</vt:lpstr>
      <vt:lpstr>LU_SSC!Print_Area</vt:lpstr>
      <vt:lpstr>Notes_BO!Print_Area</vt:lpstr>
      <vt:lpstr>Notes_SSC!Print_Area</vt:lpstr>
      <vt:lpstr>Outputs_SC!Print_Area</vt:lpstr>
      <vt:lpstr>Overview_SC!Print_Area</vt:lpstr>
      <vt:lpstr>TS_Ass_SSC!Print_Area</vt:lpstr>
      <vt:lpstr>TS_BA!Print_Area</vt:lpstr>
      <vt:lpstr>TS_LU!Print_Area</vt:lpstr>
      <vt:lpstr>BS_All_TO!Print_Titles</vt:lpstr>
      <vt:lpstr>BS_Fcast_TO!Print_Titles</vt:lpstr>
      <vt:lpstr>BS_Hist_TA!Print_Titles</vt:lpstr>
      <vt:lpstr>BS_Hist_TO!Print_Titles</vt:lpstr>
      <vt:lpstr>CFS_All_TO!Print_Titles</vt:lpstr>
      <vt:lpstr>CFS_Fcast_TO!Print_Titles</vt:lpstr>
      <vt:lpstr>CFS_Hist_TA!Print_Titles</vt:lpstr>
      <vt:lpstr>CFS_Hist_TO!Print_Titles</vt:lpstr>
      <vt:lpstr>Checks_BO!Print_Titles</vt:lpstr>
      <vt:lpstr>Contents!Print_Titles</vt:lpstr>
      <vt:lpstr>Fcast_OP_TO!Print_Titles</vt:lpstr>
      <vt:lpstr>Fcast_TA!Print_Titles</vt:lpstr>
      <vt:lpstr>IS_All_TO!Print_Titles</vt:lpstr>
      <vt:lpstr>IS_Fcast_TO!Print_Titles</vt:lpstr>
      <vt:lpstr>IS_Hist_TA!Print_Titles</vt:lpstr>
      <vt:lpstr>IS_Hist_TO!Print_Titles</vt:lpstr>
      <vt:lpstr>Keys_BO!Print_Titles</vt:lpstr>
      <vt:lpstr>Notes_BO!Print_Titles</vt:lpstr>
      <vt:lpstr>TS_BA!Print_Titles</vt:lpstr>
      <vt:lpstr>TS_LU!Print_Titles</vt:lpstr>
      <vt:lpstr>Qtr_Name</vt:lpstr>
      <vt:lpstr>Qtrly</vt:lpstr>
      <vt:lpstr>Qtrs_In_Yr</vt:lpstr>
      <vt:lpstr>Semi_Annual</vt:lpstr>
      <vt:lpstr>Sens_Chks_Msg</vt:lpstr>
      <vt:lpstr>Sens_Chks_Ttl_Areas</vt:lpstr>
      <vt:lpstr>Ten</vt:lpstr>
      <vt:lpstr>Thousand</vt:lpstr>
      <vt:lpstr>Thousands</vt:lpstr>
      <vt:lpstr>TS</vt:lpstr>
      <vt:lpstr>TS_Actual_Per_Title</vt:lpstr>
      <vt:lpstr>TS_Actual_Pers</vt:lpstr>
      <vt:lpstr>TS_Budget_Per_Title</vt:lpstr>
      <vt:lpstr>TS_Budget_Pers</vt:lpstr>
      <vt:lpstr>TS_Data_End_Date</vt:lpstr>
      <vt:lpstr>TS_Data_Final_Stub</vt:lpstr>
      <vt:lpstr>TS_Data_Full_Pers</vt:lpstr>
      <vt:lpstr>TS_Data_Pers_Ass</vt:lpstr>
      <vt:lpstr>TS_Data_Total_Pers</vt:lpstr>
      <vt:lpstr>TS_Denom_Label</vt:lpstr>
      <vt:lpstr>TS_Fcast_Per_Title</vt:lpstr>
      <vt:lpstr>TS_Mth_End</vt:lpstr>
      <vt:lpstr>TS_Mths_In_Per</vt:lpstr>
      <vt:lpstr>TS_Per_1_End_Date</vt:lpstr>
      <vt:lpstr>TS_Per_1_FY_End_Date</vt:lpstr>
      <vt:lpstr>TS_Per_1_FY_Start_Date</vt:lpstr>
      <vt:lpstr>TS_Per_1_Number</vt:lpstr>
      <vt:lpstr>TS_Per_1_Start_Date</vt:lpstr>
      <vt:lpstr>TS_Per_Type_Name</vt:lpstr>
      <vt:lpstr>TS_Per_Type_Prefix</vt:lpstr>
      <vt:lpstr>TS_Periodicity</vt:lpstr>
      <vt:lpstr>TS_Pers_In_Yr</vt:lpstr>
      <vt:lpstr>TS_Proj_Per_1_End_Date</vt:lpstr>
      <vt:lpstr>TS_Proj_Per_1_FY_End_Date</vt:lpstr>
      <vt:lpstr>TS_Proj_Per_1_FY_Start_Date</vt:lpstr>
      <vt:lpstr>TS_Proj_Per_1_Number</vt:lpstr>
      <vt:lpstr>TS_Proj_Per_1_Start_Date</vt:lpstr>
      <vt:lpstr>TS_Proj_Start_Date</vt:lpstr>
      <vt:lpstr>TS_Proj_Start_Date_Ass</vt:lpstr>
      <vt:lpstr>TS_Start_Date</vt:lpstr>
      <vt:lpstr>TS_Std_Pers</vt:lpstr>
      <vt:lpstr>TS_Title</vt:lpstr>
      <vt:lpstr>Yr_Name</vt:lpstr>
      <vt:lpstr>Yrs_In_Yr</vt:lpstr>
    </vt:vector>
  </TitlesOfParts>
  <Company>BPM Analytical Empowerment Pty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Hutchens</dc:creator>
  <cp:lastModifiedBy>Best Practice Modelling</cp:lastModifiedBy>
  <cp:lastPrinted>2010-10-08T00:36:02Z</cp:lastPrinted>
  <dcterms:created xsi:type="dcterms:W3CDTF">2006-03-09T22:44:34Z</dcterms:created>
  <dcterms:modified xsi:type="dcterms:W3CDTF">2010-12-21T06:13:53Z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XRCK">
    <vt:lpwstr>53|11757824,1|0,52|6780672,51|4204747,49|6697881,55|7929855,11|12632256,56|16777215</vt:lpwstr>
  </property>
  <property fmtid="{D5CDD505-2E9C-101B-9397-08002B2CF9AE}" pid="3" name="TBXBSCK">
    <vt:lpwstr>CO-4142|-4142/COC-4142|-4142/CS1-4142|-4142/S1S2-4142|-4142/S2BAR6|-4142/BATAR6|-4142/TABO-4142|-4142/BOTO-4142|-4142/TOLU-4142|-4142/LUMS-4142|-4142/MSCH-4142|-4142/CH</vt:lpwstr>
  </property>
</Properties>
</file>