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BS_Sum_2_P_MS" sheetId="204" r:id="rId33"/>
    <sheet name="Custom_Dashboard_MS" sheetId="205" r:id="rId34"/>
    <sheet name="Appendices_SC" sheetId="168" r:id="rId35"/>
    <sheet name="Checks_SSC" sheetId="134" r:id="rId36"/>
    <sheet name="Checks_BO" sheetId="135" r:id="rId37"/>
    <sheet name="LU_SSC" sheetId="169" r:id="rId38"/>
    <sheet name="TS_LU" sheetId="130" r:id="rId39"/>
    <sheet name="Capital_LU" sheetId="174" r:id="rId40"/>
    <sheet name="Dashboards_LU" sheetId="182" r:id="rId41"/>
  </sheets>
  <definedNames>
    <definedName name="Alt_Chk_1_Hdg">BS_Hist_TA!$B$1</definedName>
    <definedName name="Alt_Chk_11_Hdg">Fcast_TA!$C$79</definedName>
    <definedName name="Alt_Chk_12_Hdg">Fcast_TA!$B$106</definedName>
    <definedName name="Alt_Chk_14_Hdg">BS_Fcast_TO!$B$1</definedName>
    <definedName name="Alt_Chk_15_Hdg">Fcast_OP_TO!$C$117</definedName>
    <definedName name="Alt_Chk_2_Hdg">BS_Hist_TO!$B$1</definedName>
    <definedName name="Alt_Chk_4_Hdg">Fcast_OP_TO!$B$16</definedName>
    <definedName name="Alt_Chks_Msg">Checks_BO!$I$51</definedName>
    <definedName name="Alt_Chks_Ttl_Areas">Checks_BO!$M$62</definedName>
    <definedName name="Annual">TS_LU!$D$77</definedName>
    <definedName name="BA_Alt_Chks" hidden="1">Checks_BO!$42:$62</definedName>
    <definedName name="BA_Err_Chks" hidden="1">Checks_BO!$5:$25</definedName>
    <definedName name="BA_Formats_Styles" hidden="1">Keys_BO!$5:$51</definedName>
    <definedName name="BA_LU" hidden="1">TS_LU!$5:$105</definedName>
    <definedName name="BA_Range_Naming" hidden="1">Keys_BO!$104:$137</definedName>
    <definedName name="BA_Sens_Chks" hidden="1">Checks_BO!$26:$41</definedName>
    <definedName name="BA_Sheet_Naming" hidden="1">Keys_BO!$52:$103</definedName>
    <definedName name="BA_TS_Ass" hidden="1">TS_BA!$5:$65</definedName>
    <definedName name="Billion">TS_LU!$D$105</definedName>
    <definedName name="Billions">TS_LU!$D$63</definedName>
    <definedName name="CA_Alt_Chks">Checks_BO!$K$57:$K$60</definedName>
    <definedName name="CA_Alt_Chks_Area_Names">Checks_BO!$D$57:$D$60</definedName>
    <definedName name="CA_Alt_Chks_Flags">Checks_BO!$M$57:$M$60</definedName>
    <definedName name="CA_Alt_Chks_Inc">Checks_BO!$L$57:$L$60</definedName>
    <definedName name="CA_Err_Chks">Checks_BO!$K$20:$K$23</definedName>
    <definedName name="CA_Err_Chks_Area_Names">Checks_BO!$D$20:$D$23</definedName>
    <definedName name="CA_Err_Chks_Flags">Checks_BO!$M$20:$M$23</definedName>
    <definedName name="CA_Err_Chks_Inc">Checks_BO!$L$20:$L$23</definedName>
    <definedName name="CA_Sens_Chks">Checks_BO!$K$40:$K$40</definedName>
    <definedName name="CA_Sens_Chks_Area_Names">Checks_BO!$D$40:$D$40</definedName>
    <definedName name="CA_Sens_Chks_Flags">Checks_BO!$M$40:$M$40</definedName>
    <definedName name="CA_Sens_Chks_Inc">Checks_BO!$L$40:$L$40</definedName>
    <definedName name="CB_Alt_Chks_Show_Msg">Checks_BO!$C$46</definedName>
    <definedName name="CB_Eq_Ord_Cash_Limit_Div">Fcast_TA!$E$99</definedName>
    <definedName name="CB_Eq_Ord_Inc_Open_RP_In_NPAT">Fcast_TA!$E$98</definedName>
    <definedName name="CB_Err_Chks_Show_Msg">Checks_BO!$C$9</definedName>
    <definedName name="CB_Sens_Chks_Show_Msg">Checks_BO!$C$30</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Fcast_OP_TO!$B$158</definedName>
    <definedName name="Err_Chk_11_Hdg">IS_Fcast_TO!$B$1</definedName>
    <definedName name="Err_Chk_13_Hdg">BS_Fcast_TO!$B$1</definedName>
    <definedName name="Err_Chk_14_Hdg">CFS_Fcast_TO!$B$1</definedName>
    <definedName name="Err_Chk_15_Hdg">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Checks_BO!$M$25</definedName>
    <definedName name="Half_Yr_Name">TS_LU!$D$86</definedName>
    <definedName name="Halves_In_Yr">TS_LU!$D$94</definedName>
    <definedName name="HL_Alt_Chk">Checks_BO!$B$44</definedName>
    <definedName name="HL_Alt_Chk_1">BS_Hist_TA!$H$73</definedName>
    <definedName name="HL_Alt_Chk_14">BS_Fcast_TO!$I$72</definedName>
    <definedName name="HL_Alt_Chk_15">Fcast_OP_TO!$I$138</definedName>
    <definedName name="HL_Alt_Chk_2">BS_Hist_TO!$H$74</definedName>
    <definedName name="HL_Err_Chk">Checks_BO!$B$7</definedName>
    <definedName name="HL_Err_Chk_1" hidden="1">Fcast_OP_TO!$I$42</definedName>
    <definedName name="HL_Err_Chk_11">IS_Fcast_TO!$I$41</definedName>
    <definedName name="HL_Err_Chk_13">BS_Fcast_TO!$I$70</definedName>
    <definedName name="HL_Err_Chk_14">CFS_Fcast_TO!$I$114</definedName>
    <definedName name="HL_Err_Chk_15">Fcast_OP_TO!$I$136</definedName>
    <definedName name="HL_Err_Chk_2" hidden="1">Fcast_OP_TO!$I$59</definedName>
    <definedName name="HL_Err_Chk_3" hidden="1">Fcast_OP_TO!$I$74</definedName>
    <definedName name="HL_Err_Chk_4" hidden="1">Fcast_OP_TO!$I$86</definedName>
    <definedName name="HL_Err_Chk_7">Fcast_OP_TO!$I$59</definedName>
    <definedName name="HL_Home">Contents!$B$1</definedName>
    <definedName name="HL_Sens_Chk">Checks_BO!$B$28</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4" hidden="1">BS_Sum_2_P_MS!$A$1</definedName>
    <definedName name="HL_Sheet_Main_35" hidden="1">IS_Fcast_TO!$A$1</definedName>
    <definedName name="HL_Sheet_Main_36" hidden="1">BS_Fcast_TO!$A$1</definedName>
    <definedName name="HL_Sheet_Main_37" hidden="1">CFS_Fcast_TO!$A$1</definedName>
    <definedName name="HL_Sheet_Main_38" hidden="1">Custom_Dashboard_MS!$A$1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Checks_BO!$B$28</definedName>
    <definedName name="HL_TOC_8" hidden="1">Checks_BO!$B$44</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4">Appendices_SC!$B$1:$N$30</definedName>
    <definedName name="_xlnm.Print_Area" localSheetId="7">Assumptions_SC!$B$1:$N$30</definedName>
    <definedName name="_xlnm.Print_Area" localSheetId="28">BS_All_TO!$B$1:$Q$77</definedName>
    <definedName name="_xlnm.Print_Area" localSheetId="24">BS_Fcast_TO!$B$1:$Q$78</definedName>
    <definedName name="_xlnm.Print_Area" localSheetId="12">BS_Hist_TA!$B$1:$Q$77</definedName>
    <definedName name="_xlnm.Print_Area" localSheetId="19">BS_Hist_TO!$B$1:$Q$77</definedName>
    <definedName name="_xlnm.Print_Area" localSheetId="32">BS_Sum_2_P_MS!$B$1:$AN$65</definedName>
    <definedName name="_xlnm.Print_Area" localSheetId="31">BS_Sum_P_MS!$B$1:$AN$64</definedName>
    <definedName name="_xlnm.Print_Area" localSheetId="39">Capital_LU!$B$1:$G$13</definedName>
    <definedName name="_xlnm.Print_Area" localSheetId="29">CFS_All_TO!$B$1:$Q$58</definedName>
    <definedName name="_xlnm.Print_Area" localSheetId="25">CFS_Fcast_TO!$B$1:$Q$120</definedName>
    <definedName name="_xlnm.Print_Area" localSheetId="13">CFS_Hist_TA!$B$1:$Q$55</definedName>
    <definedName name="_xlnm.Print_Area" localSheetId="20">CFS_Hist_TO!$B$1:$Q$54</definedName>
    <definedName name="_xlnm.Print_Area" localSheetId="36">Checks_BO!$B$1:$M$62</definedName>
    <definedName name="_xlnm.Print_Area" localSheetId="35">Checks_SSC!$B$1:$N$30</definedName>
    <definedName name="_xlnm.Print_Area" localSheetId="1">Contents!$B$1:$Q$64</definedName>
    <definedName name="_xlnm.Print_Area" localSheetId="0">Cover!$B$1:$N$32</definedName>
    <definedName name="_xlnm.Print_Area" localSheetId="33">Custom_Dashboard_MS!$B$1:$BI$40</definedName>
    <definedName name="_xlnm.Print_Area" localSheetId="40">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IS_All_TO!$B$1:$Q$43</definedName>
    <definedName name="_xlnm.Print_Area" localSheetId="23">IS_Fcast_TO!$B$1:$Q$47</definedName>
    <definedName name="_xlnm.Print_Area" localSheetId="11">IS_Hist_TA!$B$1:$Q$44</definedName>
    <definedName name="_xlnm.Print_Area" localSheetId="18">IS_Hist_TO!$B$1:$Q$43</definedName>
    <definedName name="_xlnm.Print_Area" localSheetId="6">Keys_BO!$B$1:$N$137</definedName>
    <definedName name="_xlnm.Print_Area" localSheetId="5">Keys_SSC!$B$1:$N$30</definedName>
    <definedName name="_xlnm.Print_Area" localSheetId="37">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8">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6">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8">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Checks_BO!$I$35</definedName>
    <definedName name="Sens_Chks_Ttl_Areas">Checks_BO!$M$41</definedName>
    <definedName name="TBXBST" localSheetId="26" hidden="1">"|B|SSC|B|"</definedName>
    <definedName name="TBXBST" localSheetId="34"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2" hidden="1">"|B|MS|B||P|"</definedName>
    <definedName name="TBXBST" localSheetId="31" hidden="1">"|B|MS|B||P|"</definedName>
    <definedName name="TBXBST" localSheetId="39"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6" hidden="1">"|B|BO|B|"</definedName>
    <definedName name="TBXBST" localSheetId="35" hidden="1">"|B|SSC|B|"</definedName>
    <definedName name="TBXBST" localSheetId="1" hidden="1">"|B|Contents|B|"</definedName>
    <definedName name="TBXBST" localSheetId="0" hidden="1">"|B|Cover|B|"</definedName>
    <definedName name="TBXBST" localSheetId="33" hidden="1">"|B|MS|B||P|"</definedName>
    <definedName name="TBXBST" localSheetId="40"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7"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8"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Checks_BO!$B$28</definedName>
    <definedName name="TOC_Hdg_8" hidden="1">Checks_BO!$B$44</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4" i="176"/>
  <c r="H63"/>
  <c r="H62"/>
  <c r="F61"/>
  <c r="I60"/>
  <c r="I59"/>
  <c r="I58"/>
  <c r="H57"/>
  <c r="F56"/>
  <c r="D55"/>
  <c r="H54"/>
  <c r="H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0" i="135"/>
  <c r="D59"/>
  <c r="D58"/>
  <c r="D57"/>
  <c r="D23"/>
  <c r="D22"/>
  <c r="D21"/>
  <c r="D2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M53" s="1"/>
  <c r="L44"/>
  <c r="K44"/>
  <c r="K53" s="1"/>
  <c r="J44"/>
  <c r="I44"/>
  <c r="I53" s="1"/>
  <c r="Q33"/>
  <c r="P33"/>
  <c r="O33"/>
  <c r="N33"/>
  <c r="M33"/>
  <c r="L33"/>
  <c r="K33"/>
  <c r="J33"/>
  <c r="I33"/>
  <c r="Q25"/>
  <c r="Q35" s="1"/>
  <c r="P25"/>
  <c r="O25"/>
  <c r="O35" s="1"/>
  <c r="N25"/>
  <c r="M25"/>
  <c r="M35" s="1"/>
  <c r="M55" s="1"/>
  <c r="M62" s="1"/>
  <c r="M63" s="1"/>
  <c r="M65" s="1"/>
  <c r="L25"/>
  <c r="K25"/>
  <c r="K35" s="1"/>
  <c r="K55" s="1"/>
  <c r="K62" s="1"/>
  <c r="K63" s="1"/>
  <c r="K65" s="1"/>
  <c r="J25"/>
  <c r="I25"/>
  <c r="I35" s="1"/>
  <c r="I55" s="1"/>
  <c r="I62" s="1"/>
  <c r="I63" s="1"/>
  <c r="I71"/>
  <c r="D48" i="197"/>
  <c r="Q49" i="192"/>
  <c r="P49"/>
  <c r="O49"/>
  <c r="N49"/>
  <c r="M49"/>
  <c r="L49"/>
  <c r="K49"/>
  <c r="J49"/>
  <c r="D60" i="202"/>
  <c r="B39" i="180" s="1"/>
  <c r="D100" i="163"/>
  <c r="D85"/>
  <c r="D139" i="193"/>
  <c r="C210" i="199" s="1"/>
  <c r="E63" i="196"/>
  <c r="D60"/>
  <c r="D58" i="203"/>
  <c r="D49"/>
  <c r="D47"/>
  <c r="D39"/>
  <c r="D31"/>
  <c r="D28"/>
  <c r="D27"/>
  <c r="D77" i="202"/>
  <c r="C77"/>
  <c r="C76"/>
  <c r="D66"/>
  <c r="B40" i="180" s="1"/>
  <c r="D59" i="202"/>
  <c r="B38" i="180" s="1"/>
  <c r="C57" i="202"/>
  <c r="C55"/>
  <c r="C53"/>
  <c r="D50"/>
  <c r="D49"/>
  <c r="D48"/>
  <c r="C46"/>
  <c r="D43"/>
  <c r="D42"/>
  <c r="D41"/>
  <c r="D40"/>
  <c r="D39"/>
  <c r="C37"/>
  <c r="C35"/>
  <c r="D32"/>
  <c r="D31"/>
  <c r="D30"/>
  <c r="D29"/>
  <c r="C27"/>
  <c r="D24"/>
  <c r="D23"/>
  <c r="D22"/>
  <c r="C18"/>
  <c r="I17"/>
  <c r="B16"/>
  <c r="C43" i="201"/>
  <c r="D42"/>
  <c r="C42"/>
  <c r="C41"/>
  <c r="C39"/>
  <c r="D37"/>
  <c r="C35"/>
  <c r="D33"/>
  <c r="C31"/>
  <c r="D29"/>
  <c r="Q28"/>
  <c r="P28"/>
  <c r="O28"/>
  <c r="N28"/>
  <c r="M28"/>
  <c r="L28"/>
  <c r="K28"/>
  <c r="J28"/>
  <c r="E28"/>
  <c r="Q27"/>
  <c r="P27"/>
  <c r="O27"/>
  <c r="N27"/>
  <c r="M27"/>
  <c r="L27"/>
  <c r="K27"/>
  <c r="J27"/>
  <c r="E27"/>
  <c r="C25"/>
  <c r="D23"/>
  <c r="C21"/>
  <c r="D19"/>
  <c r="D18"/>
  <c r="B16"/>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B12" i="180" l="1"/>
  <c r="B12" i="204"/>
  <c r="B14" i="180"/>
  <c r="B14" i="204"/>
  <c r="B16" i="180"/>
  <c r="B16" i="204"/>
  <c r="B18" i="180"/>
  <c r="B18" i="204"/>
  <c r="B20" i="180"/>
  <c r="B20" i="204"/>
  <c r="B11" i="180"/>
  <c r="B11" i="204"/>
  <c r="B13" i="180"/>
  <c r="B13" i="204"/>
  <c r="B15" i="180"/>
  <c r="B15" i="204"/>
  <c r="B17" i="180"/>
  <c r="B17" i="204"/>
  <c r="B19" i="180"/>
  <c r="B19" i="204"/>
  <c r="B21" i="180"/>
  <c r="B21" i="204"/>
  <c r="O53" i="191"/>
  <c r="O55" s="1"/>
  <c r="Q53"/>
  <c r="Q55" s="1"/>
  <c r="P53"/>
  <c r="I33" i="196"/>
  <c r="I44"/>
  <c r="I65" i="191"/>
  <c r="I64" i="196"/>
  <c r="I25"/>
  <c r="I51"/>
  <c r="J35" i="191"/>
  <c r="L35"/>
  <c r="N35"/>
  <c r="P35"/>
  <c r="P55" s="1"/>
  <c r="P62" s="1"/>
  <c r="P63" s="1"/>
  <c r="P65" s="1"/>
  <c r="J53"/>
  <c r="L53"/>
  <c r="N53"/>
  <c r="I66" i="196"/>
  <c r="I53"/>
  <c r="P67" i="191"/>
  <c r="J8" i="203"/>
  <c r="I35" i="196" l="1"/>
  <c r="I55" s="1"/>
  <c r="I68" s="1"/>
  <c r="I69" s="1"/>
  <c r="Q62" i="191"/>
  <c r="Q63" s="1"/>
  <c r="Q65" s="1"/>
  <c r="Q67" s="1"/>
  <c r="Q68" s="1"/>
  <c r="Q69" s="1"/>
  <c r="O62"/>
  <c r="O63" s="1"/>
  <c r="O65" s="1"/>
  <c r="O67" s="1"/>
  <c r="O68" s="1"/>
  <c r="O69" s="1"/>
  <c r="L55"/>
  <c r="L62" s="1"/>
  <c r="L63" s="1"/>
  <c r="L65" s="1"/>
  <c r="N55"/>
  <c r="J55"/>
  <c r="J62" s="1"/>
  <c r="J63" s="1"/>
  <c r="J65" s="1"/>
  <c r="P68"/>
  <c r="P69" s="1"/>
  <c r="L67"/>
  <c r="M67"/>
  <c r="K67"/>
  <c r="I72"/>
  <c r="I73" s="1"/>
  <c r="I67"/>
  <c r="N62" l="1"/>
  <c r="N63" s="1"/>
  <c r="N65" s="1"/>
  <c r="N67" s="1"/>
  <c r="J67"/>
  <c r="I68"/>
  <c r="I69" s="1"/>
  <c r="K68"/>
  <c r="K69" s="1"/>
  <c r="M68"/>
  <c r="M69" s="1"/>
  <c r="J68"/>
  <c r="J69" s="1"/>
  <c r="L68"/>
  <c r="L69" s="1"/>
  <c r="N68" l="1"/>
  <c r="N69" s="1"/>
  <c r="I22" i="202"/>
  <c r="C18" i="199"/>
  <c r="E20" i="203" s="1"/>
  <c r="C19" i="199"/>
  <c r="C20"/>
  <c r="E24" i="203" s="1"/>
  <c r="C21" i="199"/>
  <c r="C22"/>
  <c r="C27"/>
  <c r="D30"/>
  <c r="C44"/>
  <c r="C64"/>
  <c r="C76"/>
  <c r="E95"/>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4"/>
  <c r="C54"/>
  <c r="C53"/>
  <c r="C51"/>
  <c r="D77" i="196"/>
  <c r="D42" i="195"/>
  <c r="C77" i="196"/>
  <c r="C76"/>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3"/>
  <c r="C42"/>
  <c r="C41"/>
  <c r="C39"/>
  <c r="D37"/>
  <c r="C35"/>
  <c r="D33"/>
  <c r="C31"/>
  <c r="D29"/>
  <c r="E28"/>
  <c r="E27"/>
  <c r="C25"/>
  <c r="D23"/>
  <c r="C21"/>
  <c r="D19"/>
  <c r="D18"/>
  <c r="B16"/>
  <c r="D54" i="192"/>
  <c r="D76" i="191"/>
  <c r="D42"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0" i="135"/>
  <c r="D34"/>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s="1"/>
  <c r="P10" i="203" s="1"/>
  <c r="P13" l="1"/>
  <c r="P7"/>
  <c r="N10" i="201"/>
  <c r="J10" i="202"/>
  <c r="M10"/>
  <c r="Q10"/>
  <c r="K10" i="203"/>
  <c r="O10"/>
  <c r="J10" i="201"/>
  <c r="M10"/>
  <c r="Q10"/>
  <c r="N10" i="202"/>
  <c r="L10" i="203"/>
  <c r="L9"/>
  <c r="M8" s="1"/>
  <c r="L9" i="202"/>
  <c r="M8" s="1"/>
  <c r="N9" i="201"/>
  <c r="O8" s="1"/>
  <c r="N9" i="203"/>
  <c r="O8" s="1"/>
  <c r="Q9" i="201"/>
  <c r="M9"/>
  <c r="N8" s="1"/>
  <c r="K9" i="203"/>
  <c r="L8" s="1"/>
  <c r="M9" i="202"/>
  <c r="N8" s="1"/>
  <c r="Q9" i="203"/>
  <c r="O9" i="202"/>
  <c r="P8" s="1"/>
  <c r="P9" i="203"/>
  <c r="Q8" s="1"/>
  <c r="P9" i="202"/>
  <c r="Q8" s="1"/>
  <c r="P9" i="201"/>
  <c r="Q8" s="1"/>
  <c r="L9"/>
  <c r="M8" s="1"/>
  <c r="N9" i="202"/>
  <c r="O8" s="1"/>
  <c r="O9" i="201"/>
  <c r="P8" s="1"/>
  <c r="K9"/>
  <c r="L8" s="1"/>
  <c r="O9" i="203"/>
  <c r="P8" s="1"/>
  <c r="M9"/>
  <c r="N8" s="1"/>
  <c r="K9" i="202"/>
  <c r="L8" s="1"/>
  <c r="Q9"/>
  <c r="L10" i="201"/>
  <c r="P10"/>
  <c r="K10" i="202"/>
  <c r="O10"/>
  <c r="J10" i="203"/>
  <c r="M10"/>
  <c r="Q10"/>
  <c r="K10" i="201"/>
  <c r="O10"/>
  <c r="L10" i="202"/>
  <c r="P10"/>
  <c r="N10" i="203"/>
  <c r="J53" i="131"/>
  <c r="J25"/>
  <c r="J24"/>
  <c r="M41" i="135"/>
  <c r="I35" s="1"/>
  <c r="P13" i="202" l="1"/>
  <c r="P7"/>
  <c r="O13" i="201"/>
  <c r="O7"/>
  <c r="BC7" i="180" s="1"/>
  <c r="Q13" i="203"/>
  <c r="Q7"/>
  <c r="J13"/>
  <c r="J7"/>
  <c r="K13" i="202"/>
  <c r="K7"/>
  <c r="L13" i="201"/>
  <c r="L7"/>
  <c r="AZ7" i="180" s="1"/>
  <c r="L13" i="203"/>
  <c r="L7"/>
  <c r="Q13" i="201"/>
  <c r="Q7"/>
  <c r="J13"/>
  <c r="J7"/>
  <c r="AX7" i="180" s="1"/>
  <c r="K13" i="203"/>
  <c r="K7"/>
  <c r="M13" i="202"/>
  <c r="M7"/>
  <c r="N13" i="201"/>
  <c r="N7"/>
  <c r="BB7" i="180" s="1"/>
  <c r="J9" i="201"/>
  <c r="K8" s="1"/>
  <c r="J9" i="203"/>
  <c r="K8" s="1"/>
  <c r="J9" i="202"/>
  <c r="K8" s="1"/>
  <c r="B7"/>
  <c r="B7" i="203"/>
  <c r="B7" i="201"/>
  <c r="N13" i="203"/>
  <c r="N7"/>
  <c r="L13" i="202"/>
  <c r="L7"/>
  <c r="K13" i="201"/>
  <c r="K7"/>
  <c r="AY7" i="180" s="1"/>
  <c r="M13" i="203"/>
  <c r="M7"/>
  <c r="O13" i="202"/>
  <c r="O7"/>
  <c r="P13" i="201"/>
  <c r="P7"/>
  <c r="N13" i="202"/>
  <c r="N7"/>
  <c r="M13" i="201"/>
  <c r="M7"/>
  <c r="BA7" i="180" s="1"/>
  <c r="O13" i="203"/>
  <c r="O7"/>
  <c r="Q13" i="202"/>
  <c r="Q7"/>
  <c r="J13"/>
  <c r="J7"/>
  <c r="J55" i="131"/>
  <c r="J54" s="1"/>
  <c r="J56" s="1"/>
  <c r="J58" s="1"/>
  <c r="I134" i="193"/>
  <c r="I89"/>
  <c r="I63"/>
  <c r="I48"/>
  <c r="I109"/>
  <c r="I82"/>
  <c r="I72"/>
  <c r="I53"/>
  <c r="I37"/>
  <c r="I32"/>
  <c r="J46" i="131"/>
  <c r="J47" s="1"/>
  <c r="I34" i="135"/>
  <c r="B9" i="204" l="1"/>
  <c r="AP7" i="180"/>
  <c r="D18" i="182"/>
  <c r="BD7" i="180"/>
  <c r="D19" i="182"/>
  <c r="BE7" i="180"/>
  <c r="D15" i="182"/>
  <c r="Q9" i="204"/>
  <c r="D13" i="182"/>
  <c r="O9" i="204"/>
  <c r="D16" i="182"/>
  <c r="R9" i="204"/>
  <c r="D12" i="182"/>
  <c r="AU32" i="180" s="1"/>
  <c r="N9" i="204"/>
  <c r="D14" i="182"/>
  <c r="P9" i="204"/>
  <c r="D17" i="182"/>
  <c r="S9" i="204"/>
  <c r="Q46" i="180"/>
  <c r="Q26"/>
  <c r="Q9"/>
  <c r="O46"/>
  <c r="O26"/>
  <c r="O9"/>
  <c r="B46"/>
  <c r="B9"/>
  <c r="B26"/>
  <c r="R26"/>
  <c r="R9"/>
  <c r="R46"/>
  <c r="N26"/>
  <c r="N9"/>
  <c r="N46"/>
  <c r="P46"/>
  <c r="P26"/>
  <c r="P9"/>
  <c r="S46"/>
  <c r="S26"/>
  <c r="S9"/>
  <c r="J48" i="131"/>
  <c r="J12" i="197"/>
  <c r="J12" i="195"/>
  <c r="J12" i="196"/>
  <c r="J49" i="131"/>
  <c r="J57"/>
  <c r="J12" i="190"/>
  <c r="J8" s="1"/>
  <c r="J9" s="1"/>
  <c r="K12" s="1"/>
  <c r="J12" i="192"/>
  <c r="J10" s="1"/>
  <c r="J12" i="191"/>
  <c r="J8" i="192"/>
  <c r="J9" s="1"/>
  <c r="K12" s="1"/>
  <c r="J48" i="197" l="1"/>
  <c r="J11" i="192"/>
  <c r="B7"/>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I60" i="202"/>
  <c r="O49"/>
  <c r="P31"/>
  <c r="O31"/>
  <c r="Q49"/>
  <c r="Q31"/>
  <c r="P49"/>
  <c r="I50"/>
  <c r="I48"/>
  <c r="I42"/>
  <c r="I40"/>
  <c r="I32"/>
  <c r="I30"/>
  <c r="I24"/>
  <c r="I49"/>
  <c r="I43"/>
  <c r="I41"/>
  <c r="I39"/>
  <c r="I31"/>
  <c r="I29"/>
  <c r="I23"/>
  <c r="I59"/>
  <c r="J71" i="191"/>
  <c r="J72"/>
  <c r="J63" i="196"/>
  <c r="J73" s="1"/>
  <c r="J59"/>
  <c r="J49"/>
  <c r="J49" i="202" s="1"/>
  <c r="J43" i="196"/>
  <c r="J41"/>
  <c r="J39"/>
  <c r="J39" i="202" s="1"/>
  <c r="J31" i="196"/>
  <c r="J31" i="202" s="1"/>
  <c r="J29" i="196"/>
  <c r="J23"/>
  <c r="J23" i="202" s="1"/>
  <c r="J20" i="196"/>
  <c r="J61"/>
  <c r="J60"/>
  <c r="J50"/>
  <c r="J48"/>
  <c r="J48" i="202" s="1"/>
  <c r="J42" i="196"/>
  <c r="J42" i="202" s="1"/>
  <c r="J40" i="196"/>
  <c r="J32"/>
  <c r="J30"/>
  <c r="J30" i="202" s="1"/>
  <c r="J24" i="196"/>
  <c r="J24" i="202" s="1"/>
  <c r="J22" i="196"/>
  <c r="J72" s="1"/>
  <c r="J63" i="202"/>
  <c r="J60"/>
  <c r="N39" i="180" s="1"/>
  <c r="J10" i="190"/>
  <c r="J7" s="1"/>
  <c r="B7"/>
  <c r="J6" i="192"/>
  <c r="J11" i="190"/>
  <c r="B7" i="191"/>
  <c r="J20" i="162"/>
  <c r="J149" i="199" s="1"/>
  <c r="J61" i="162"/>
  <c r="J146" i="199" s="1"/>
  <c r="B7"/>
  <c r="B6" i="193"/>
  <c r="B6" i="199"/>
  <c r="B7" i="193"/>
  <c r="B6" i="197"/>
  <c r="B7" i="196"/>
  <c r="B6" i="195"/>
  <c r="B7" i="197"/>
  <c r="B6" i="196"/>
  <c r="B7" i="195"/>
  <c r="J41" i="202"/>
  <c r="J50"/>
  <c r="J32"/>
  <c r="J10" i="196"/>
  <c r="J7" s="1"/>
  <c r="J11"/>
  <c r="J43" i="202"/>
  <c r="J29"/>
  <c r="J40"/>
  <c r="J8" i="196"/>
  <c r="J9" s="1"/>
  <c r="K12" s="1"/>
  <c r="J10" i="197"/>
  <c r="J7" s="1"/>
  <c r="J47"/>
  <c r="J46"/>
  <c r="J45"/>
  <c r="J44"/>
  <c r="J43"/>
  <c r="J38"/>
  <c r="J37"/>
  <c r="J36"/>
  <c r="J35"/>
  <c r="J30"/>
  <c r="J29"/>
  <c r="J28"/>
  <c r="J27"/>
  <c r="J25"/>
  <c r="J24"/>
  <c r="J23"/>
  <c r="J21"/>
  <c r="J20"/>
  <c r="J8"/>
  <c r="J9" s="1"/>
  <c r="K12"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13" i="192"/>
  <c r="J7"/>
  <c r="J6" i="190"/>
  <c r="B6"/>
  <c r="B6" i="192"/>
  <c r="B6" i="191"/>
  <c r="J8"/>
  <c r="J9" s="1"/>
  <c r="K12" s="1"/>
  <c r="K10" s="1"/>
  <c r="K7" s="1"/>
  <c r="J11"/>
  <c r="J6"/>
  <c r="J10"/>
  <c r="J7" s="1"/>
  <c r="K8" i="192"/>
  <c r="K9" s="1"/>
  <c r="L12" s="1"/>
  <c r="K10"/>
  <c r="K6"/>
  <c r="K7"/>
  <c r="K11"/>
  <c r="K11" i="190"/>
  <c r="K10"/>
  <c r="K7" s="1"/>
  <c r="K8"/>
  <c r="K9" s="1"/>
  <c r="L12" s="1"/>
  <c r="K8" i="191"/>
  <c r="K9" s="1"/>
  <c r="L12" s="1"/>
  <c r="L7" i="199" l="1"/>
  <c r="L107"/>
  <c r="L106"/>
  <c r="P106"/>
  <c r="P107" s="1"/>
  <c r="M106"/>
  <c r="M107" s="1"/>
  <c r="Q106"/>
  <c r="Q107" s="1"/>
  <c r="J7"/>
  <c r="J107"/>
  <c r="J106"/>
  <c r="N106"/>
  <c r="N107" s="1"/>
  <c r="K7"/>
  <c r="K106"/>
  <c r="K107"/>
  <c r="O106"/>
  <c r="O107" s="1"/>
  <c r="J77" i="193"/>
  <c r="J7"/>
  <c r="N77"/>
  <c r="K77"/>
  <c r="K7"/>
  <c r="O77"/>
  <c r="L77"/>
  <c r="L7"/>
  <c r="P77"/>
  <c r="M77"/>
  <c r="Q77"/>
  <c r="K48" i="197"/>
  <c r="K11" i="191"/>
  <c r="J13" i="190"/>
  <c r="I68" i="202"/>
  <c r="K13" i="161"/>
  <c r="K6"/>
  <c r="K11"/>
  <c r="K10"/>
  <c r="K9"/>
  <c r="K8"/>
  <c r="O6"/>
  <c r="O11"/>
  <c r="O10"/>
  <c r="O7" s="1"/>
  <c r="O9"/>
  <c r="K13" i="162"/>
  <c r="K6"/>
  <c r="K11"/>
  <c r="K10"/>
  <c r="K9"/>
  <c r="K8"/>
  <c r="O6"/>
  <c r="O11"/>
  <c r="O10"/>
  <c r="O7" s="1"/>
  <c r="O9"/>
  <c r="K13" i="163"/>
  <c r="K6"/>
  <c r="K11"/>
  <c r="K10"/>
  <c r="K9"/>
  <c r="K8"/>
  <c r="O6"/>
  <c r="O11"/>
  <c r="O10"/>
  <c r="O7" s="1"/>
  <c r="O9"/>
  <c r="J13" i="161"/>
  <c r="J11"/>
  <c r="J10"/>
  <c r="J9"/>
  <c r="J8"/>
  <c r="J6"/>
  <c r="N11"/>
  <c r="N10"/>
  <c r="N7" s="1"/>
  <c r="N9"/>
  <c r="O8" s="1"/>
  <c r="N6"/>
  <c r="J13" i="162"/>
  <c r="J11"/>
  <c r="J10"/>
  <c r="J9"/>
  <c r="J8"/>
  <c r="J6"/>
  <c r="N11"/>
  <c r="N10"/>
  <c r="N7" s="1"/>
  <c r="N9"/>
  <c r="O8" s="1"/>
  <c r="N6"/>
  <c r="J13" i="163"/>
  <c r="J11"/>
  <c r="J10"/>
  <c r="J9"/>
  <c r="J8"/>
  <c r="J6"/>
  <c r="N11"/>
  <c r="N10"/>
  <c r="N7" s="1"/>
  <c r="N9"/>
  <c r="O8" s="1"/>
  <c r="N6"/>
  <c r="M6" i="161"/>
  <c r="M11"/>
  <c r="M10"/>
  <c r="M9"/>
  <c r="N8" s="1"/>
  <c r="M8"/>
  <c r="Q6"/>
  <c r="Q11"/>
  <c r="Q10"/>
  <c r="Q7" s="1"/>
  <c r="Q9"/>
  <c r="M6" i="162"/>
  <c r="M11"/>
  <c r="M10"/>
  <c r="M9"/>
  <c r="N8" s="1"/>
  <c r="M8"/>
  <c r="Q6"/>
  <c r="Q11"/>
  <c r="Q10"/>
  <c r="Q7" s="1"/>
  <c r="Q9"/>
  <c r="M6" i="163"/>
  <c r="M11"/>
  <c r="M10"/>
  <c r="M7" s="1"/>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7" s="1"/>
  <c r="P9"/>
  <c r="Q8" s="1"/>
  <c r="P8"/>
  <c r="P6"/>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8" i="163" s="1"/>
  <c r="J214" i="199"/>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2"/>
  <c r="K40"/>
  <c r="K32"/>
  <c r="K30"/>
  <c r="K24"/>
  <c r="K22"/>
  <c r="K63"/>
  <c r="K63" i="202" s="1"/>
  <c r="K59" i="196"/>
  <c r="K49"/>
  <c r="K43"/>
  <c r="K41"/>
  <c r="K39"/>
  <c r="K31"/>
  <c r="K29"/>
  <c r="K23"/>
  <c r="K20"/>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K11"/>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O6"/>
  <c r="K48" i="202"/>
  <c r="K40"/>
  <c r="K30"/>
  <c r="K23"/>
  <c r="K43"/>
  <c r="K39"/>
  <c r="K29"/>
  <c r="K10" i="196"/>
  <c r="K7" s="1"/>
  <c r="K50" i="202"/>
  <c r="K42"/>
  <c r="K32"/>
  <c r="K24"/>
  <c r="K49"/>
  <c r="K41"/>
  <c r="K31"/>
  <c r="K8" i="196"/>
  <c r="K9" s="1"/>
  <c r="L12" s="1"/>
  <c r="K11"/>
  <c r="K6"/>
  <c r="J21" i="195"/>
  <c r="J25" s="1"/>
  <c r="J13" i="197"/>
  <c r="J39"/>
  <c r="J74" i="196"/>
  <c r="J13"/>
  <c r="K37" i="195"/>
  <c r="K33"/>
  <c r="K29"/>
  <c r="K23"/>
  <c r="AY27" i="180" s="1"/>
  <c r="AY47" s="1"/>
  <c r="K19" i="195"/>
  <c r="AY20" i="180" s="1"/>
  <c r="AY46" s="1"/>
  <c r="K18" i="195"/>
  <c r="AY13" i="180" s="1"/>
  <c r="AY45" s="1"/>
  <c r="K10" i="195"/>
  <c r="K7" s="1"/>
  <c r="K8"/>
  <c r="K9" s="1"/>
  <c r="L12" s="1"/>
  <c r="K6"/>
  <c r="K11"/>
  <c r="L13" i="193"/>
  <c r="L11"/>
  <c r="L10"/>
  <c r="L9"/>
  <c r="L8"/>
  <c r="L6"/>
  <c r="P11"/>
  <c r="P10"/>
  <c r="P7" s="1"/>
  <c r="P9"/>
  <c r="P6" s="1"/>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8" i="199"/>
  <c r="P22"/>
  <c r="P79" s="1"/>
  <c r="P81" s="1"/>
  <c r="P166" s="1"/>
  <c r="P21"/>
  <c r="P67" s="1"/>
  <c r="P69" s="1"/>
  <c r="P165" s="1"/>
  <c r="P20"/>
  <c r="P19"/>
  <c r="BD21" i="180" s="1"/>
  <c r="BD49" s="1"/>
  <c r="P18" i="199"/>
  <c r="BD14" i="180" s="1"/>
  <c r="BD48" s="1"/>
  <c r="P11" i="199"/>
  <c r="P10"/>
  <c r="P7" s="1"/>
  <c r="P9"/>
  <c r="Q8" s="1"/>
  <c r="M11" i="193"/>
  <c r="M10"/>
  <c r="M7" s="1"/>
  <c r="M9"/>
  <c r="N8" s="1"/>
  <c r="M8"/>
  <c r="Q11"/>
  <c r="Q10"/>
  <c r="Q7" s="1"/>
  <c r="Q9"/>
  <c r="Q6" s="1"/>
  <c r="Q8"/>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3" i="163"/>
  <c r="O20"/>
  <c r="O36"/>
  <c r="P24"/>
  <c r="L104" i="199" l="1"/>
  <c r="P8" i="193"/>
  <c r="O8"/>
  <c r="M13" i="161"/>
  <c r="I35" i="202"/>
  <c r="Q13" i="161"/>
  <c r="N13" i="199"/>
  <c r="P13" i="161"/>
  <c r="Q13" i="162"/>
  <c r="M13"/>
  <c r="L48" i="197"/>
  <c r="L48" i="203" s="1"/>
  <c r="P60" i="180" s="1"/>
  <c r="P7" i="161"/>
  <c r="M7" i="162"/>
  <c r="M7" i="161"/>
  <c r="P13" i="162"/>
  <c r="Q13" i="163"/>
  <c r="M13"/>
  <c r="P7" i="162"/>
  <c r="P13" i="163"/>
  <c r="N13" i="162"/>
  <c r="O13" i="161"/>
  <c r="N13"/>
  <c r="N13" i="163"/>
  <c r="O13"/>
  <c r="O13" i="16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3"/>
  <c r="L41"/>
  <c r="L39"/>
  <c r="L31"/>
  <c r="L29"/>
  <c r="L23"/>
  <c r="L20"/>
  <c r="L60"/>
  <c r="L50"/>
  <c r="L48"/>
  <c r="L42"/>
  <c r="L40"/>
  <c r="L32"/>
  <c r="L30"/>
  <c r="L24"/>
  <c r="L22"/>
  <c r="K43" i="203"/>
  <c r="K49" i="197"/>
  <c r="L85" i="163"/>
  <c r="L100"/>
  <c r="J85"/>
  <c r="J100"/>
  <c r="J48" i="203"/>
  <c r="N60" i="180" s="1"/>
  <c r="K45" i="203"/>
  <c r="Q213" i="199"/>
  <c r="Q48" i="163" s="1"/>
  <c r="L73" i="191"/>
  <c r="I53" i="202"/>
  <c r="I55" s="1"/>
  <c r="I70" s="1"/>
  <c r="I71" s="1"/>
  <c r="I72" s="1"/>
  <c r="J53" i="196"/>
  <c r="J35"/>
  <c r="K85" i="163"/>
  <c r="K100"/>
  <c r="K44" i="203"/>
  <c r="K46"/>
  <c r="K72" i="196"/>
  <c r="L72"/>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200"/>
  <c r="Q201" s="1"/>
  <c r="P188"/>
  <c r="P206"/>
  <c r="P207" s="1"/>
  <c r="P38" i="163" s="1"/>
  <c r="Q206" i="199"/>
  <c r="Q188"/>
  <c r="P200"/>
  <c r="P194"/>
  <c r="P195" s="1"/>
  <c r="K13" i="195"/>
  <c r="M13" i="199"/>
  <c r="P13"/>
  <c r="L189"/>
  <c r="L29" i="163" s="1"/>
  <c r="L201" i="199"/>
  <c r="L195"/>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43" i="202"/>
  <c r="L39"/>
  <c r="L29"/>
  <c r="L48"/>
  <c r="L40"/>
  <c r="L30"/>
  <c r="L23"/>
  <c r="L10" i="196"/>
  <c r="L7" s="1"/>
  <c r="L49" i="202"/>
  <c r="L41"/>
  <c r="L31"/>
  <c r="L50"/>
  <c r="L42"/>
  <c r="L32"/>
  <c r="L24"/>
  <c r="L11" i="196"/>
  <c r="L8"/>
  <c r="L9" s="1"/>
  <c r="M12" s="1"/>
  <c r="M7" s="1"/>
  <c r="O47" i="199"/>
  <c r="O163"/>
  <c r="O67"/>
  <c r="O69" s="1"/>
  <c r="O165" s="1"/>
  <c r="O35" i="163"/>
  <c r="O81"/>
  <c r="O99"/>
  <c r="O80"/>
  <c r="O98"/>
  <c r="K47" i="199"/>
  <c r="K163"/>
  <c r="K23" i="163"/>
  <c r="K23" i="203" s="1"/>
  <c r="K19" i="161"/>
  <c r="K19" i="201"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J20" i="163"/>
  <c r="J20" i="203" s="1"/>
  <c r="J164" i="199"/>
  <c r="J23" i="161"/>
  <c r="J23" i="201" s="1"/>
  <c r="J24" i="163"/>
  <c r="J24" i="203" s="1"/>
  <c r="J79" i="199"/>
  <c r="J81" s="1"/>
  <c r="J36" i="163"/>
  <c r="J36" i="203" s="1"/>
  <c r="J98" i="199"/>
  <c r="J67" i="193" s="1"/>
  <c r="J124" i="199"/>
  <c r="J86" i="193" s="1"/>
  <c r="J82" i="163"/>
  <c r="J102"/>
  <c r="J189" i="199"/>
  <c r="J29" i="163" s="1"/>
  <c r="J24" i="162"/>
  <c r="Q189" i="199"/>
  <c r="Q29" i="163" s="1"/>
  <c r="Q195" i="199"/>
  <c r="Q207"/>
  <c r="Q38" i="163" s="1"/>
  <c r="M104" i="199"/>
  <c r="P104"/>
  <c r="P189"/>
  <c r="P29" i="163" s="1"/>
  <c r="P201" i="199"/>
  <c r="L70"/>
  <c r="L72" s="1"/>
  <c r="L73" s="1"/>
  <c r="L74" s="1"/>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74" i="163"/>
  <c r="L81"/>
  <c r="L99"/>
  <c r="L83"/>
  <c r="L103"/>
  <c r="L37" i="195"/>
  <c r="L33"/>
  <c r="L29"/>
  <c r="L23"/>
  <c r="AZ27" i="180" s="1"/>
  <c r="AZ47" s="1"/>
  <c r="L19" i="195"/>
  <c r="AZ20" i="180" s="1"/>
  <c r="AZ46" s="1"/>
  <c r="L18" i="195"/>
  <c r="AZ13" i="180" s="1"/>
  <c r="AZ45" s="1"/>
  <c r="L8" i="195"/>
  <c r="L9" s="1"/>
  <c r="M12" s="1"/>
  <c r="M7" s="1"/>
  <c r="L10"/>
  <c r="L7" s="1"/>
  <c r="L11"/>
  <c r="O30" i="199"/>
  <c r="O162"/>
  <c r="O164"/>
  <c r="O24" i="163"/>
  <c r="O23" i="161"/>
  <c r="O83" i="163"/>
  <c r="O103"/>
  <c r="O82"/>
  <c r="O102"/>
  <c r="K30" i="199"/>
  <c r="K162"/>
  <c r="K18" i="161"/>
  <c r="K18" i="201" s="1"/>
  <c r="O11" i="204" s="1"/>
  <c r="K20" i="163"/>
  <c r="K20" i="203" s="1"/>
  <c r="K164" i="199"/>
  <c r="K23" i="161"/>
  <c r="K23" i="201" s="1"/>
  <c r="K24" i="163"/>
  <c r="K24" i="203" s="1"/>
  <c r="K79" i="199"/>
  <c r="K81" s="1"/>
  <c r="K36" i="163"/>
  <c r="K36" i="203" s="1"/>
  <c r="K80" i="163"/>
  <c r="K98"/>
  <c r="K124" i="199"/>
  <c r="K86" i="193" s="1"/>
  <c r="K74" i="163"/>
  <c r="N30" i="199"/>
  <c r="N162"/>
  <c r="N20" i="163"/>
  <c r="N18" i="161"/>
  <c r="N164" i="199"/>
  <c r="N23" i="161"/>
  <c r="N24" i="163"/>
  <c r="N79" i="199"/>
  <c r="N81" s="1"/>
  <c r="N36" i="163"/>
  <c r="N82"/>
  <c r="N102"/>
  <c r="N81"/>
  <c r="N99"/>
  <c r="J163" i="199"/>
  <c r="J47"/>
  <c r="J23" i="163"/>
  <c r="J23" i="203" s="1"/>
  <c r="J19" i="161"/>
  <c r="J19" i="201"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5" i="203" s="1"/>
  <c r="L30" i="197"/>
  <c r="L29"/>
  <c r="L28"/>
  <c r="L27"/>
  <c r="L25"/>
  <c r="L24"/>
  <c r="L23"/>
  <c r="L23" i="203" s="1"/>
  <c r="L21" i="197"/>
  <c r="L20"/>
  <c r="L20" i="203" s="1"/>
  <c r="L10" i="197"/>
  <c r="L7" s="1"/>
  <c r="L11"/>
  <c r="L8"/>
  <c r="L9" s="1"/>
  <c r="M12" s="1"/>
  <c r="Q104" i="199"/>
  <c r="L82"/>
  <c r="O104"/>
  <c r="J82"/>
  <c r="K22" i="197"/>
  <c r="K26"/>
  <c r="L13" i="192"/>
  <c r="M8"/>
  <c r="M9" s="1"/>
  <c r="N12" s="1"/>
  <c r="M11"/>
  <c r="M10"/>
  <c r="M10" i="191"/>
  <c r="M7" s="1"/>
  <c r="M8"/>
  <c r="M9" s="1"/>
  <c r="M11"/>
  <c r="M13" s="1"/>
  <c r="L7" i="192"/>
  <c r="M8" i="190"/>
  <c r="M11"/>
  <c r="M10"/>
  <c r="M6"/>
  <c r="M9"/>
  <c r="N12" s="1"/>
  <c r="P20" i="163"/>
  <c r="P23"/>
  <c r="Q24"/>
  <c r="P36"/>
  <c r="Q23" i="161"/>
  <c r="O21"/>
  <c r="O25" s="1"/>
  <c r="O27"/>
  <c r="O28"/>
  <c r="P18"/>
  <c r="P19"/>
  <c r="Q36" i="163"/>
  <c r="Q35"/>
  <c r="M48" i="197" l="1"/>
  <c r="M7"/>
  <c r="N14" i="180"/>
  <c r="N14" i="204"/>
  <c r="N12" i="180"/>
  <c r="N12" i="204"/>
  <c r="O14" i="180"/>
  <c r="O14" i="204"/>
  <c r="N11" i="180"/>
  <c r="N11" i="204"/>
  <c r="N13" s="1"/>
  <c r="N15" s="1"/>
  <c r="O12" i="180"/>
  <c r="O12" i="204"/>
  <c r="O13" s="1"/>
  <c r="O15" s="1"/>
  <c r="J66" i="196"/>
  <c r="P100" i="163"/>
  <c r="J109" i="199"/>
  <c r="K109"/>
  <c r="L109"/>
  <c r="L110" s="1"/>
  <c r="L113" s="1"/>
  <c r="L114" s="1"/>
  <c r="L27" i="163" s="1"/>
  <c r="K82" i="199"/>
  <c r="L24" i="203"/>
  <c r="K62" i="196"/>
  <c r="K62" i="202" s="1"/>
  <c r="M13" i="190"/>
  <c r="P53" i="180"/>
  <c r="P58"/>
  <c r="J55" i="196"/>
  <c r="K31" i="195"/>
  <c r="K35" s="1"/>
  <c r="K39" s="1"/>
  <c r="O58" i="180"/>
  <c r="K21" i="201"/>
  <c r="K25" s="1"/>
  <c r="O11" i="180"/>
  <c r="O53"/>
  <c r="O57"/>
  <c r="M7" i="190"/>
  <c r="M13" i="192"/>
  <c r="L21" i="196"/>
  <c r="M73" i="191"/>
  <c r="K53" i="196"/>
  <c r="K55" s="1"/>
  <c r="L49" i="197"/>
  <c r="L43" i="203"/>
  <c r="P57" i="180" s="1"/>
  <c r="L23" i="201"/>
  <c r="L19"/>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P11" i="204" s="1"/>
  <c r="L33" i="196"/>
  <c r="L44"/>
  <c r="J68"/>
  <c r="J69" s="1"/>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6" i="195"/>
  <c r="L13"/>
  <c r="N12" i="191"/>
  <c r="M6"/>
  <c r="L6" i="197"/>
  <c r="L22"/>
  <c r="L26"/>
  <c r="L6" i="196"/>
  <c r="M6" i="192"/>
  <c r="L167" i="199"/>
  <c r="L33" i="161"/>
  <c r="L84" i="199"/>
  <c r="L85" s="1"/>
  <c r="L86" s="1"/>
  <c r="L30" i="162"/>
  <c r="J39" i="163"/>
  <c r="J72"/>
  <c r="N33" i="199"/>
  <c r="K59" i="162"/>
  <c r="K33" i="199"/>
  <c r="M37" i="195"/>
  <c r="M33"/>
  <c r="M29"/>
  <c r="M23"/>
  <c r="M19"/>
  <c r="M18"/>
  <c r="M10"/>
  <c r="M8"/>
  <c r="M11"/>
  <c r="M9"/>
  <c r="M6" s="1"/>
  <c r="L59" i="162"/>
  <c r="L21" i="161"/>
  <c r="L25" s="1"/>
  <c r="P33" i="199"/>
  <c r="M72" i="163"/>
  <c r="J48" i="162"/>
  <c r="J51" s="1"/>
  <c r="J33" i="199"/>
  <c r="K48" i="162"/>
  <c r="K51" s="1"/>
  <c r="K165" i="199"/>
  <c r="K27" i="161"/>
  <c r="O50" i="199"/>
  <c r="P55" i="180"/>
  <c r="L39" i="163"/>
  <c r="L72"/>
  <c r="M33" i="199"/>
  <c r="L39" i="197"/>
  <c r="J110" i="199"/>
  <c r="J84"/>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8"/>
  <c r="M9" s="1"/>
  <c r="M6" s="1"/>
  <c r="M11"/>
  <c r="J165" i="199"/>
  <c r="J27" i="161"/>
  <c r="J50" i="199"/>
  <c r="N166"/>
  <c r="N28" i="161"/>
  <c r="N21"/>
  <c r="N25" s="1"/>
  <c r="K166" i="199"/>
  <c r="K28" i="161"/>
  <c r="K21"/>
  <c r="K25" s="1"/>
  <c r="AY51" i="180" s="1"/>
  <c r="O33" i="199"/>
  <c r="L166"/>
  <c r="L28" i="161"/>
  <c r="L33" i="199"/>
  <c r="M165"/>
  <c r="M27" i="161"/>
  <c r="M50" i="199"/>
  <c r="Q33"/>
  <c r="Q35" s="1"/>
  <c r="J59" i="162"/>
  <c r="J166" i="199"/>
  <c r="J28" i="161"/>
  <c r="J21"/>
  <c r="J25" s="1"/>
  <c r="AX51" i="180" s="1"/>
  <c r="N13"/>
  <c r="N15" s="1"/>
  <c r="N165" i="199"/>
  <c r="N27" i="161"/>
  <c r="N50" i="199"/>
  <c r="O55" i="180"/>
  <c r="K39" i="163"/>
  <c r="K72"/>
  <c r="K76" s="1"/>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10" i="191"/>
  <c r="N7"/>
  <c r="N10" i="192"/>
  <c r="N13"/>
  <c r="N11"/>
  <c r="N7"/>
  <c r="N8"/>
  <c r="N9"/>
  <c r="O12" s="1"/>
  <c r="N6"/>
  <c r="Q23" i="163"/>
  <c r="Q39"/>
  <c r="P39"/>
  <c r="Q20"/>
  <c r="Q28" i="161"/>
  <c r="Q73" i="163"/>
  <c r="P21" i="161"/>
  <c r="P25" s="1"/>
  <c r="Q27"/>
  <c r="P28"/>
  <c r="O29"/>
  <c r="P27"/>
  <c r="L29" i="162"/>
  <c r="Q19" i="161"/>
  <c r="Q18"/>
  <c r="O72" i="163"/>
  <c r="P14" i="180" l="1"/>
  <c r="P14" i="204"/>
  <c r="P12" i="180"/>
  <c r="P12" i="204"/>
  <c r="P13" s="1"/>
  <c r="P15" s="1"/>
  <c r="M35" i="199"/>
  <c r="Q29"/>
  <c r="P35"/>
  <c r="N35"/>
  <c r="K64" i="196"/>
  <c r="K66" s="1"/>
  <c r="K68" s="1"/>
  <c r="K69" s="1"/>
  <c r="P29" i="199"/>
  <c r="O35"/>
  <c r="M52"/>
  <c r="P46"/>
  <c r="O52"/>
  <c r="Q46"/>
  <c r="P52"/>
  <c r="N52"/>
  <c r="L27" i="203"/>
  <c r="L97" i="163"/>
  <c r="L95"/>
  <c r="M62" i="196"/>
  <c r="M64" s="1"/>
  <c r="M66" s="1"/>
  <c r="L61"/>
  <c r="M18" i="201"/>
  <c r="BA13" i="180"/>
  <c r="BA45" s="1"/>
  <c r="M23" i="201"/>
  <c r="BA27" i="180"/>
  <c r="BA47" s="1"/>
  <c r="L21" i="201"/>
  <c r="P11" i="180"/>
  <c r="Q53"/>
  <c r="Q58"/>
  <c r="M19" i="201"/>
  <c r="BA20" i="18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L76" i="163"/>
  <c r="L53" i="196"/>
  <c r="L25" i="201"/>
  <c r="M33" i="196"/>
  <c r="M44"/>
  <c r="M25"/>
  <c r="M35" s="1"/>
  <c r="M51"/>
  <c r="L35"/>
  <c r="M43" i="203"/>
  <c r="Q57" i="180" s="1"/>
  <c r="M49" i="197"/>
  <c r="N72" i="191"/>
  <c r="N71"/>
  <c r="J70" i="196"/>
  <c r="J76" i="163"/>
  <c r="M62" i="202"/>
  <c r="L53"/>
  <c r="K51" i="197"/>
  <c r="K94" i="163"/>
  <c r="L33" i="201"/>
  <c r="L94" i="163"/>
  <c r="J94"/>
  <c r="M13" i="196"/>
  <c r="M13" i="197"/>
  <c r="L31"/>
  <c r="L33" i="162"/>
  <c r="M13" i="195"/>
  <c r="N12" i="196"/>
  <c r="N7" s="1"/>
  <c r="N12" i="197"/>
  <c r="M22"/>
  <c r="M26"/>
  <c r="N12" i="195"/>
  <c r="N7" s="1"/>
  <c r="M21"/>
  <c r="M25" s="1"/>
  <c r="Q58" i="199"/>
  <c r="K113"/>
  <c r="K167"/>
  <c r="K168" s="1"/>
  <c r="K170" s="1"/>
  <c r="K174" s="1"/>
  <c r="K33" i="161"/>
  <c r="K70" i="199"/>
  <c r="J72"/>
  <c r="J73" s="1"/>
  <c r="J74" s="1"/>
  <c r="J29" i="162"/>
  <c r="J33" s="1"/>
  <c r="Q48" i="199"/>
  <c r="P58"/>
  <c r="L48"/>
  <c r="L58"/>
  <c r="K58"/>
  <c r="K48"/>
  <c r="K39" i="162"/>
  <c r="Q41" i="199"/>
  <c r="M58"/>
  <c r="L31"/>
  <c r="L41"/>
  <c r="L23" i="162"/>
  <c r="O41" i="199"/>
  <c r="J48"/>
  <c r="J58"/>
  <c r="J39" i="162"/>
  <c r="J113" i="199"/>
  <c r="J114" s="1"/>
  <c r="J167"/>
  <c r="J168" s="1"/>
  <c r="J170" s="1"/>
  <c r="J174" s="1"/>
  <c r="J33" i="161"/>
  <c r="M41" i="199"/>
  <c r="P48"/>
  <c r="O58"/>
  <c r="J41"/>
  <c r="J31"/>
  <c r="J23" i="162"/>
  <c r="K31" i="199"/>
  <c r="K41"/>
  <c r="K23" i="162"/>
  <c r="N41" i="199"/>
  <c r="N29" i="161"/>
  <c r="M39" i="197"/>
  <c r="P13" i="180"/>
  <c r="P15" s="1"/>
  <c r="L168" i="199"/>
  <c r="L170" s="1"/>
  <c r="L174" s="1"/>
  <c r="N10" i="196"/>
  <c r="N6"/>
  <c r="N13"/>
  <c r="N11"/>
  <c r="N8"/>
  <c r="N9" s="1"/>
  <c r="O12" s="1"/>
  <c r="O7" s="1"/>
  <c r="N58" i="199"/>
  <c r="N47" i="197"/>
  <c r="N45"/>
  <c r="N45" i="203" s="1"/>
  <c r="N43" i="197"/>
  <c r="N37"/>
  <c r="N35"/>
  <c r="N35" i="203" s="1"/>
  <c r="N29" i="197"/>
  <c r="N27"/>
  <c r="N25"/>
  <c r="N24"/>
  <c r="N24" i="203" s="1"/>
  <c r="N23" i="197"/>
  <c r="N23" i="203" s="1"/>
  <c r="N21" i="197"/>
  <c r="N20"/>
  <c r="N20" i="203" s="1"/>
  <c r="N10" i="197"/>
  <c r="N6"/>
  <c r="N11"/>
  <c r="N13" s="1"/>
  <c r="N8"/>
  <c r="N9" s="1"/>
  <c r="O12" s="1"/>
  <c r="P31" i="199"/>
  <c r="P41"/>
  <c r="N37" i="195"/>
  <c r="N33"/>
  <c r="N29"/>
  <c r="N23"/>
  <c r="N19"/>
  <c r="N18"/>
  <c r="BB13" i="180" s="1"/>
  <c r="BB45" s="1"/>
  <c r="N11" i="195"/>
  <c r="N8"/>
  <c r="N9" s="1"/>
  <c r="O12" s="1"/>
  <c r="O7" s="1"/>
  <c r="N10"/>
  <c r="N13" s="1"/>
  <c r="N6"/>
  <c r="M74" i="196"/>
  <c r="M29" i="161"/>
  <c r="O13" i="180"/>
  <c r="O15" s="1"/>
  <c r="J29" i="161"/>
  <c r="K29"/>
  <c r="K31" s="1"/>
  <c r="O8" i="192"/>
  <c r="O13"/>
  <c r="O11"/>
  <c r="O7"/>
  <c r="O10"/>
  <c r="O6"/>
  <c r="O9"/>
  <c r="P12"/>
  <c r="O8" i="190"/>
  <c r="O13"/>
  <c r="O11"/>
  <c r="O7"/>
  <c r="O10"/>
  <c r="O6"/>
  <c r="O9"/>
  <c r="P12"/>
  <c r="Q29" i="161"/>
  <c r="P29"/>
  <c r="Q21"/>
  <c r="Q25" s="1"/>
  <c r="L60" i="163"/>
  <c r="P72"/>
  <c r="P76" s="1"/>
  <c r="P94"/>
  <c r="O48" i="197" l="1"/>
  <c r="O7"/>
  <c r="N48"/>
  <c r="N7"/>
  <c r="P16" i="180"/>
  <c r="P16" i="204"/>
  <c r="P17" s="1"/>
  <c r="P18" i="180"/>
  <c r="P18" i="204"/>
  <c r="Q12" i="180"/>
  <c r="Q12" i="204"/>
  <c r="Q14" i="180"/>
  <c r="Q14" i="204"/>
  <c r="Q11" i="180"/>
  <c r="Q11" i="204"/>
  <c r="Q13" s="1"/>
  <c r="Q15" s="1"/>
  <c r="N28" i="197"/>
  <c r="N30"/>
  <c r="N36"/>
  <c r="N36" i="203" s="1"/>
  <c r="N38" i="197"/>
  <c r="N44"/>
  <c r="N44" i="203" s="1"/>
  <c r="N46" i="197"/>
  <c r="N46" i="203" s="1"/>
  <c r="M21" i="201"/>
  <c r="M25" s="1"/>
  <c r="N48" i="203"/>
  <c r="R60" i="180" s="1"/>
  <c r="L62" i="196"/>
  <c r="L62" i="202" s="1"/>
  <c r="O71" i="191"/>
  <c r="O8"/>
  <c r="O11"/>
  <c r="O10"/>
  <c r="O9"/>
  <c r="O72"/>
  <c r="O13"/>
  <c r="O7"/>
  <c r="O6"/>
  <c r="P12"/>
  <c r="P71" s="1"/>
  <c r="P17" i="180"/>
  <c r="P19" s="1"/>
  <c r="N23" i="201"/>
  <c r="BB27" i="180"/>
  <c r="BB47" s="1"/>
  <c r="M31" i="195"/>
  <c r="M35" s="1"/>
  <c r="M39" s="1"/>
  <c r="BA51" i="180"/>
  <c r="R53"/>
  <c r="R58"/>
  <c r="Q13"/>
  <c r="Q15" s="1"/>
  <c r="N19" i="201"/>
  <c r="BB20" i="180"/>
  <c r="BB46" s="1"/>
  <c r="K61" i="163"/>
  <c r="N100"/>
  <c r="N85"/>
  <c r="N73" i="191"/>
  <c r="O73"/>
  <c r="L55" i="196"/>
  <c r="L31" i="201"/>
  <c r="L35" s="1"/>
  <c r="P72" i="191"/>
  <c r="N37" i="203"/>
  <c r="M53" i="196"/>
  <c r="M55" s="1"/>
  <c r="N21" i="195"/>
  <c r="N25" s="1"/>
  <c r="N18" i="201"/>
  <c r="R11" i="204" s="1"/>
  <c r="N43" i="203"/>
  <c r="R57" i="180" s="1"/>
  <c r="O60" i="196"/>
  <c r="O50"/>
  <c r="O48"/>
  <c r="O42"/>
  <c r="O40"/>
  <c r="O32"/>
  <c r="O30"/>
  <c r="O24"/>
  <c r="O22"/>
  <c r="O63"/>
  <c r="O63" i="202" s="1"/>
  <c r="O61" i="196"/>
  <c r="O59"/>
  <c r="O49"/>
  <c r="O43"/>
  <c r="O41"/>
  <c r="O39"/>
  <c r="O31"/>
  <c r="O29"/>
  <c r="O23"/>
  <c r="O20"/>
  <c r="O62"/>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N30" i="203"/>
  <c r="L51" i="197"/>
  <c r="K29" i="201"/>
  <c r="O16" i="204" s="1"/>
  <c r="O17" s="1"/>
  <c r="J31" i="161"/>
  <c r="J35" s="1"/>
  <c r="J29" i="201"/>
  <c r="N16" i="204" s="1"/>
  <c r="N17" s="1"/>
  <c r="M29" i="201"/>
  <c r="Q16" i="204" s="1"/>
  <c r="N29" i="201"/>
  <c r="R16" i="204" s="1"/>
  <c r="J33" i="201"/>
  <c r="K33"/>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N39" i="197"/>
  <c r="Q31" i="199"/>
  <c r="J61" i="163"/>
  <c r="O37" i="195"/>
  <c r="O33"/>
  <c r="O29"/>
  <c r="O29" i="201" s="1"/>
  <c r="O23" i="195"/>
  <c r="O19"/>
  <c r="O18"/>
  <c r="O8"/>
  <c r="O13"/>
  <c r="O11"/>
  <c r="O10"/>
  <c r="O6"/>
  <c r="O9"/>
  <c r="P12"/>
  <c r="P7" s="1"/>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P12"/>
  <c r="N57" i="199"/>
  <c r="N49"/>
  <c r="O72" i="196"/>
  <c r="O10"/>
  <c r="O6"/>
  <c r="O9"/>
  <c r="O73"/>
  <c r="O8"/>
  <c r="O13"/>
  <c r="O11"/>
  <c r="P12"/>
  <c r="P7" s="1"/>
  <c r="L179" i="199"/>
  <c r="L37" i="161"/>
  <c r="J40" i="199"/>
  <c r="J32"/>
  <c r="J179"/>
  <c r="K180" s="1"/>
  <c r="J37" i="161"/>
  <c r="J57" i="199"/>
  <c r="J49"/>
  <c r="K57"/>
  <c r="K49"/>
  <c r="K60" i="163"/>
  <c r="K114" i="199"/>
  <c r="K27" i="163" s="1"/>
  <c r="K27" i="203" s="1"/>
  <c r="Q12" i="190"/>
  <c r="P9"/>
  <c r="P10"/>
  <c r="P6"/>
  <c r="P13"/>
  <c r="P11"/>
  <c r="P7"/>
  <c r="P8"/>
  <c r="Q12" i="191"/>
  <c r="P9"/>
  <c r="P10"/>
  <c r="P6"/>
  <c r="P13"/>
  <c r="P11"/>
  <c r="P7"/>
  <c r="P8"/>
  <c r="Q12" i="192"/>
  <c r="P9"/>
  <c r="P10"/>
  <c r="P6"/>
  <c r="P13"/>
  <c r="P11"/>
  <c r="P7"/>
  <c r="P8"/>
  <c r="Q72" i="163"/>
  <c r="Q76" s="1"/>
  <c r="Q94"/>
  <c r="M39" i="162"/>
  <c r="M39" i="202" s="1"/>
  <c r="N23" i="162"/>
  <c r="N23" i="202" s="1"/>
  <c r="L61" i="163"/>
  <c r="L31" i="161"/>
  <c r="L35" s="1"/>
  <c r="N49" i="197" l="1"/>
  <c r="P48"/>
  <c r="P48" i="203" s="1"/>
  <c r="P7" i="197"/>
  <c r="N18" i="180"/>
  <c r="N18" i="204"/>
  <c r="N19" s="1"/>
  <c r="R14" i="180"/>
  <c r="R14" i="204"/>
  <c r="Q17"/>
  <c r="P19"/>
  <c r="S16" i="180"/>
  <c r="S16" i="204"/>
  <c r="O18" i="180"/>
  <c r="O18" i="204"/>
  <c r="O19" s="1"/>
  <c r="R12" i="180"/>
  <c r="R12" i="204"/>
  <c r="R13" s="1"/>
  <c r="R15" s="1"/>
  <c r="R17" s="1"/>
  <c r="P25" i="163"/>
  <c r="N84" i="199"/>
  <c r="N85" s="1"/>
  <c r="N86" s="1"/>
  <c r="M72"/>
  <c r="M73" s="1"/>
  <c r="M74" s="1"/>
  <c r="M29" i="162"/>
  <c r="M29" i="202" s="1"/>
  <c r="M124" i="199"/>
  <c r="M86" i="193" s="1"/>
  <c r="L64" i="196"/>
  <c r="L66" s="1"/>
  <c r="O64"/>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BC20" i="180"/>
  <c r="BC46" s="1"/>
  <c r="R16"/>
  <c r="N21" i="201"/>
  <c r="N25" s="1"/>
  <c r="N31" s="1"/>
  <c r="R11" i="180"/>
  <c r="R13" s="1"/>
  <c r="R15" s="1"/>
  <c r="R17" s="1"/>
  <c r="S53"/>
  <c r="S58"/>
  <c r="O18" i="201"/>
  <c r="BC13" i="180"/>
  <c r="BC45" s="1"/>
  <c r="O23" i="201"/>
  <c r="BC27" i="180"/>
  <c r="BC47" s="1"/>
  <c r="M31" i="201"/>
  <c r="Q16" i="180"/>
  <c r="Q17" s="1"/>
  <c r="J31" i="201"/>
  <c r="J35" s="1"/>
  <c r="N16" i="180"/>
  <c r="N17" s="1"/>
  <c r="N19" s="1"/>
  <c r="K31" i="201"/>
  <c r="K35" s="1"/>
  <c r="O16" i="180"/>
  <c r="O17" s="1"/>
  <c r="N31" i="195"/>
  <c r="N35" s="1"/>
  <c r="N39" s="1"/>
  <c r="BB51" i="180"/>
  <c r="N21" i="196"/>
  <c r="O21"/>
  <c r="O33"/>
  <c r="O44"/>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66"/>
  <c r="O25"/>
  <c r="O51"/>
  <c r="O53" s="1"/>
  <c r="O43" i="203"/>
  <c r="S57" i="180" s="1"/>
  <c r="O49" i="197"/>
  <c r="N33" i="196"/>
  <c r="N44"/>
  <c r="M68"/>
  <c r="M69" s="1"/>
  <c r="O62" i="202"/>
  <c r="P26" i="163"/>
  <c r="J39" i="161"/>
  <c r="J58" i="163" s="1"/>
  <c r="J37" i="201"/>
  <c r="L37"/>
  <c r="P20" i="204" s="1"/>
  <c r="K37" i="20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8"/>
  <c r="P6"/>
  <c r="Q12"/>
  <c r="Q7" s="1"/>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5" i="203" s="1"/>
  <c r="P24" i="197"/>
  <c r="P24" i="203" s="1"/>
  <c r="P23" i="197"/>
  <c r="P23" i="203" s="1"/>
  <c r="P21" i="197"/>
  <c r="P20"/>
  <c r="P20" i="203" s="1"/>
  <c r="P9" i="197"/>
  <c r="P10"/>
  <c r="P6"/>
  <c r="P13"/>
  <c r="P11"/>
  <c r="P8"/>
  <c r="Q12"/>
  <c r="P37" i="195"/>
  <c r="P33"/>
  <c r="P29"/>
  <c r="P29" i="201" s="1"/>
  <c r="P23" i="195"/>
  <c r="P19"/>
  <c r="P18"/>
  <c r="P13"/>
  <c r="P11"/>
  <c r="P8"/>
  <c r="P9"/>
  <c r="P10"/>
  <c r="P6"/>
  <c r="Q12"/>
  <c r="Q7" s="1"/>
  <c r="Q40" i="199"/>
  <c r="Q32"/>
  <c r="Q38" s="1"/>
  <c r="Q39" s="1"/>
  <c r="L28" i="163"/>
  <c r="L28" i="203" s="1"/>
  <c r="K181" i="199"/>
  <c r="O74" i="196"/>
  <c r="O22" i="197"/>
  <c r="O26"/>
  <c r="O21" i="195"/>
  <c r="O25" s="1"/>
  <c r="O19" i="180"/>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Q48" i="197" l="1"/>
  <c r="Q48" i="203" s="1"/>
  <c r="Q7" i="197"/>
  <c r="S12" i="180"/>
  <c r="S12" i="204"/>
  <c r="O20" i="180"/>
  <c r="O20" i="204"/>
  <c r="O21" s="1"/>
  <c r="N20" i="180"/>
  <c r="N20" i="204"/>
  <c r="N21" s="1"/>
  <c r="S14" i="180"/>
  <c r="S14" i="204"/>
  <c r="S11" i="180"/>
  <c r="S11" i="204"/>
  <c r="S13" s="1"/>
  <c r="S15" s="1"/>
  <c r="S17" s="1"/>
  <c r="P21"/>
  <c r="Q21" i="163"/>
  <c r="M33" i="202"/>
  <c r="Q29" i="180" s="1"/>
  <c r="O21"/>
  <c r="J41" i="161"/>
  <c r="M33" i="162"/>
  <c r="N21" i="180"/>
  <c r="M75" i="163"/>
  <c r="N121" i="199"/>
  <c r="N83" i="193" s="1"/>
  <c r="M59" i="162"/>
  <c r="M59" i="202" s="1"/>
  <c r="Q38" i="180" s="1"/>
  <c r="M109" i="199"/>
  <c r="M110" s="1"/>
  <c r="M113" s="1"/>
  <c r="M114" s="1"/>
  <c r="J147"/>
  <c r="J148"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O212" i="199"/>
  <c r="O213" s="1"/>
  <c r="O48" i="163" s="1"/>
  <c r="O85" s="1"/>
  <c r="M212" i="199"/>
  <c r="M213" s="1"/>
  <c r="M48" i="163" s="1"/>
  <c r="M49" i="199"/>
  <c r="M57"/>
  <c r="M40"/>
  <c r="M32"/>
  <c r="N53" i="196"/>
  <c r="P25"/>
  <c r="P51"/>
  <c r="O30" i="203"/>
  <c r="N206" i="199"/>
  <c r="N207" s="1"/>
  <c r="N38" i="163" s="1"/>
  <c r="O206" i="199"/>
  <c r="O207" s="1"/>
  <c r="O38" i="163" s="1"/>
  <c r="O39" s="1"/>
  <c r="O94" s="1"/>
  <c r="K31" i="203"/>
  <c r="O51" i="180" s="1"/>
  <c r="O48"/>
  <c r="P18" i="201"/>
  <c r="BD13" i="180"/>
  <c r="BD45" s="1"/>
  <c r="P23" i="201"/>
  <c r="BD27" i="180"/>
  <c r="BD47" s="1"/>
  <c r="L39" i="201"/>
  <c r="P20" i="180"/>
  <c r="P21" s="1"/>
  <c r="N35" i="196"/>
  <c r="Q73" i="191"/>
  <c r="O31" i="195"/>
  <c r="O35" s="1"/>
  <c r="O39" s="1"/>
  <c r="BC51" i="180"/>
  <c r="P19" i="201"/>
  <c r="BD20" i="180"/>
  <c r="BD46" s="1"/>
  <c r="K39" i="201"/>
  <c r="S15" i="180"/>
  <c r="S17" s="1"/>
  <c r="Q60" i="196"/>
  <c r="Q50"/>
  <c r="Q48"/>
  <c r="Q42"/>
  <c r="Q40"/>
  <c r="Q32"/>
  <c r="Q30"/>
  <c r="Q24"/>
  <c r="Q22"/>
  <c r="Q63"/>
  <c r="Q63" i="202" s="1"/>
  <c r="Q61" i="196"/>
  <c r="Q59"/>
  <c r="Q49"/>
  <c r="Q43"/>
  <c r="Q41"/>
  <c r="Q39"/>
  <c r="Q31"/>
  <c r="Q29"/>
  <c r="Q23"/>
  <c r="Q20"/>
  <c r="Q62"/>
  <c r="O55"/>
  <c r="P21"/>
  <c r="P33"/>
  <c r="P35" s="1"/>
  <c r="P44"/>
  <c r="P49" i="197"/>
  <c r="P43" i="203"/>
  <c r="P62" i="196"/>
  <c r="M70"/>
  <c r="J39" i="201"/>
  <c r="Q22" i="163"/>
  <c r="P22"/>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1" i="203" s="1"/>
  <c r="Q20" i="197"/>
  <c r="Q20" i="203" s="1"/>
  <c r="Q10" i="197"/>
  <c r="Q6"/>
  <c r="Q11"/>
  <c r="Q8"/>
  <c r="Q13"/>
  <c r="Q9"/>
  <c r="Q73" i="196"/>
  <c r="Q8"/>
  <c r="Q13"/>
  <c r="Q9"/>
  <c r="Q72"/>
  <c r="Q10"/>
  <c r="Q6"/>
  <c r="Q11"/>
  <c r="J62" i="163"/>
  <c r="J22"/>
  <c r="P74" i="196"/>
  <c r="J155" i="199"/>
  <c r="J129" s="1"/>
  <c r="K62" i="162"/>
  <c r="K64" i="202" s="1"/>
  <c r="K40" i="162"/>
  <c r="K41" i="161"/>
  <c r="K58" i="163"/>
  <c r="N31" i="161"/>
  <c r="L63" i="163"/>
  <c r="L62"/>
  <c r="O23" i="162"/>
  <c r="O23" i="202" s="1"/>
  <c r="N39" i="162"/>
  <c r="N39" i="202" s="1"/>
  <c r="L59" i="163"/>
  <c r="L39" i="161"/>
  <c r="M30" i="163" l="1"/>
  <c r="O74"/>
  <c r="O76" s="1"/>
  <c r="P84" i="199"/>
  <c r="P85" s="1"/>
  <c r="P86" s="1"/>
  <c r="O29" i="203"/>
  <c r="M33" i="161"/>
  <c r="M33" i="201" s="1"/>
  <c r="Q18" i="204" s="1"/>
  <c r="Q19" s="1"/>
  <c r="M167" i="199"/>
  <c r="M168" s="1"/>
  <c r="M170" s="1"/>
  <c r="M174" s="1"/>
  <c r="M179" s="1"/>
  <c r="P22" i="203"/>
  <c r="L31" i="163"/>
  <c r="Q84" i="199"/>
  <c r="Q85" s="1"/>
  <c r="Q86" s="1"/>
  <c r="N124"/>
  <c r="N86" i="193" s="1"/>
  <c r="O100" i="163"/>
  <c r="P30" i="162"/>
  <c r="P30" i="202" s="1"/>
  <c r="O33" i="162"/>
  <c r="P53" i="196"/>
  <c r="Q64"/>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67" i="163"/>
  <c r="M37" i="203"/>
  <c r="Q54" i="180" s="1"/>
  <c r="Q55" s="1"/>
  <c r="M74" i="163"/>
  <c r="M76" s="1"/>
  <c r="M39"/>
  <c r="M94" s="1"/>
  <c r="O75"/>
  <c r="O38" i="203"/>
  <c r="S54" i="180" s="1"/>
  <c r="S55" s="1"/>
  <c r="N66" i="196"/>
  <c r="N68" s="1"/>
  <c r="N69" s="1"/>
  <c r="I131" i="193"/>
  <c r="Q19" i="201"/>
  <c r="BE20" i="180"/>
  <c r="BE46" s="1"/>
  <c r="Q18" i="201"/>
  <c r="Q21" s="1"/>
  <c r="BE13" i="180"/>
  <c r="BE45" s="1"/>
  <c r="Q23" i="201"/>
  <c r="BE27" i="180"/>
  <c r="BE47" s="1"/>
  <c r="P31" i="195"/>
  <c r="P35" s="1"/>
  <c r="P39" s="1"/>
  <c r="BD51" i="180"/>
  <c r="P55" i="196"/>
  <c r="P62" i="202"/>
  <c r="Q21" i="196"/>
  <c r="Q33"/>
  <c r="Q44"/>
  <c r="Q43" i="203"/>
  <c r="Q49" i="197"/>
  <c r="Q66" i="196"/>
  <c r="Q25"/>
  <c r="Q51"/>
  <c r="Q62" i="202"/>
  <c r="L31" i="203"/>
  <c r="P51" i="180" s="1"/>
  <c r="O51" i="197"/>
  <c r="O29" i="202"/>
  <c r="O33" s="1"/>
  <c r="S29" i="180" s="1"/>
  <c r="L147" i="199"/>
  <c r="L154" s="1"/>
  <c r="J68" i="163"/>
  <c r="M27"/>
  <c r="I86" i="199"/>
  <c r="M51" i="162"/>
  <c r="M48" i="202"/>
  <c r="M51" s="1"/>
  <c r="Q33" i="180" s="1"/>
  <c r="P29" i="202"/>
  <c r="M35" i="161"/>
  <c r="Q39" i="197"/>
  <c r="P31"/>
  <c r="M115" i="199"/>
  <c r="N98"/>
  <c r="N67" i="193" s="1"/>
  <c r="I74" i="199"/>
  <c r="Q21" i="195"/>
  <c r="Q25" s="1"/>
  <c r="J31" i="163"/>
  <c r="Q74" i="196"/>
  <c r="H74" s="1"/>
  <c r="K58" i="135" s="1"/>
  <c r="M58" s="1"/>
  <c r="Q22" i="197"/>
  <c r="Q22" i="203" s="1"/>
  <c r="Q26" i="197"/>
  <c r="Q26" i="203" s="1"/>
  <c r="K31" i="163"/>
  <c r="J138" i="199"/>
  <c r="J130"/>
  <c r="L40" i="162"/>
  <c r="L62"/>
  <c r="L64" i="202" s="1"/>
  <c r="Q29" i="162"/>
  <c r="N61" i="163"/>
  <c r="L58"/>
  <c r="L41" i="161"/>
  <c r="M60" i="163" l="1"/>
  <c r="M37" i="161"/>
  <c r="M59" i="163" s="1"/>
  <c r="I42" i="199"/>
  <c r="P33" i="202"/>
  <c r="O121" i="199"/>
  <c r="O83" i="193" s="1"/>
  <c r="N59" i="162"/>
  <c r="N59" i="202" s="1"/>
  <c r="R38" i="180" s="1"/>
  <c r="P33" i="162"/>
  <c r="O26" i="163"/>
  <c r="O25" i="203"/>
  <c r="O26" s="1"/>
  <c r="S49" i="180" s="1"/>
  <c r="O22" i="163"/>
  <c r="O21" i="203"/>
  <c r="O22" s="1"/>
  <c r="S48" i="180" s="1"/>
  <c r="M21" i="203"/>
  <c r="M22" s="1"/>
  <c r="Q48" i="180" s="1"/>
  <c r="M22" i="163"/>
  <c r="Q25" i="201"/>
  <c r="Q31" s="1"/>
  <c r="I59" i="199"/>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39" i="201" l="1"/>
  <c r="Q20" i="204"/>
  <c r="Q21" s="1"/>
  <c r="M41" i="161"/>
  <c r="M62" i="162"/>
  <c r="M64" i="202" s="1"/>
  <c r="M58" i="163"/>
  <c r="Q20" i="180"/>
  <c r="Q21" s="1"/>
  <c r="P121" i="199"/>
  <c r="P83" i="193" s="1"/>
  <c r="O59" i="162"/>
  <c r="O59" i="202" s="1"/>
  <c r="S38" i="180" s="1"/>
  <c r="Q70" i="196"/>
  <c r="H70" s="1"/>
  <c r="K61" i="202"/>
  <c r="J68"/>
  <c r="N33" i="201"/>
  <c r="R18" i="204" s="1"/>
  <c r="R19" s="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R20" i="204" s="1"/>
  <c r="R21" s="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S18" i="204" s="1"/>
  <c r="S19" s="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S20" i="204" s="1"/>
  <c r="S21" s="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1" i="135" s="1"/>
  <c r="M21"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59" i="135" s="1"/>
  <c r="M59"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0" i="135" s="1"/>
  <c r="M20"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0" i="135" s="1"/>
  <c r="M60" s="1"/>
  <c r="I70" i="162"/>
  <c r="K22" i="135" s="1"/>
  <c r="M22" s="1"/>
  <c r="I114" i="163"/>
  <c r="K23" i="135" s="1"/>
  <c r="M23" s="1"/>
  <c r="Q55" i="203" l="1"/>
  <c r="I55" s="1"/>
  <c r="Q25" i="202"/>
  <c r="Q35" s="1"/>
  <c r="Q55" s="1"/>
  <c r="Q74"/>
  <c r="H74" s="1"/>
  <c r="Q70" l="1"/>
  <c r="Q71" s="1"/>
  <c r="Q72" s="1"/>
  <c r="M25" i="135"/>
  <c r="H72" i="202" l="1"/>
  <c r="I13" i="135"/>
  <c r="I14"/>
  <c r="H73" i="191" l="1"/>
  <c r="K57" i="135" s="1"/>
  <c r="M57" s="1"/>
  <c r="M62" l="1"/>
  <c r="I50" l="1"/>
  <c r="I51"/>
  <c r="C10" i="177" l="1"/>
  <c r="C11" i="124" s="1"/>
  <c r="B2" i="176" l="1"/>
  <c r="B2" i="195"/>
  <c r="B2" i="191"/>
  <c r="B2" i="190"/>
  <c r="B2" i="162"/>
  <c r="C11" i="137"/>
  <c r="B2" i="204"/>
  <c r="B2" i="205"/>
  <c r="C11" i="194"/>
  <c r="B2" i="163"/>
  <c r="C11" i="168"/>
  <c r="C11" i="127"/>
  <c r="C11" i="187"/>
  <c r="B2" i="196"/>
  <c r="B2" i="128"/>
  <c r="B2" i="122"/>
  <c r="C11" i="186"/>
  <c r="C11" i="123"/>
  <c r="C11" i="169"/>
  <c r="B2" i="201"/>
  <c r="B2" i="161"/>
  <c r="B2" i="192"/>
  <c r="B2" i="193"/>
  <c r="B2" i="203"/>
  <c r="C11" i="132"/>
  <c r="B2" i="180"/>
  <c r="C11" i="189"/>
  <c r="B2" i="182"/>
  <c r="B2" i="197"/>
  <c r="C11" i="134"/>
  <c r="B2" i="135"/>
  <c r="B2" i="130"/>
  <c r="B2" i="131"/>
  <c r="C11" i="183"/>
  <c r="B2" i="174"/>
  <c r="C11" i="184"/>
  <c r="C11" i="188"/>
  <c r="B2" i="199"/>
  <c r="B2" i="202"/>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3.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6.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<sst xmlns="http://schemas.openxmlformats.org/spreadsheetml/2006/main" count="1192" uniqueCount="604">
  <si>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</si>
  <si>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</si>
  <si>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</si>
  <si>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</si>
  <si>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</si>
  <si>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</si>
  <si>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</si>
  <si>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</si>
  <si>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</si>
  <si>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</si>
  <si>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</si>
  <si>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</si>
  <si>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</si>
  <si>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</si>
  <si>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</si>
  <si>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</si>
  <si>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</si>
  <si>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</si>
  <si>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</si>
  <si>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</si>
  <si>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</si>
  <si>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</si>
  <si>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</si>
  <si>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</si>
  <si>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</si>
  <si>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</si>
  <si>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</si>
  <si>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</si>
  <si>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</si>
  <si>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</si>
  <si>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</si>
  <si>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</si>
  <si>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</si>
  <si>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</si>
  <si>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</si>
  <si>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</si>
  <si>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</si>
  <si>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</si>
  <si>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</si>
  <si>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</si>
  <si>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</si>
  <si>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</si>
  <si>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</si>
  <si>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</si>
  <si>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</si>
  <si>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</si>
  <si>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</si>
  <si>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</si>
  <si>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</si>
  <si>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</si>
  <si>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</si>
  <si>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</si>
  <si>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</si>
  <si>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</si>
  <si>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</si>
  <si>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</si>
  <si>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</si>
  <si>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</si>
  <si>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</si>
  <si>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</si>
  <si>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</si>
  <si>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</si>
  <si>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</si>
  <si>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</si>
  <si>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</si>
  <si>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</si>
  <si>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</si>
  <si>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</si>
  <si>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</si>
  <si>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</si>
  <si>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</si>
  <si>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</si>
  <si>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</si>
  <si>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</si>
  <si>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</si>
  <si>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</si>
  <si>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</si>
  <si>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</si>
  <si>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</si>
  <si>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</si>
  <si>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</si>
  <si>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</si>
  <si>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</si>
  <si>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</si>
  <si>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</si>
  <si>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</si>
  <si>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</si>
  <si>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</si>
  <si>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</si>
  <si>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</si>
  <si>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</si>
  <si>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</si>
  <si>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</si>
  <si>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</si>
  <si>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</si>
  <si>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</si>
  <si>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</si>
  <si>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</si>
  <si>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</si>
  <si>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</si>
  <si>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</si>
  <si>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</si>
  <si>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</si>
  <si>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</si>
  <si>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</si>
  <si>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</si>
  <si>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</si>
  <si>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</si>
  <si>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</si>
  <si>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</si>
  <si>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</si>
  <si>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</si>
  <si>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</si>
  <si>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</si>
  <si>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</si>
  <si>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</si>
  <si>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</si>
  <si>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</si>
  <si>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</si>
  <si>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</si>
  <si>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</si>
  <si>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</si>
  <si>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</si>
  <si>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</si>
  <si>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</si>
  <si>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</si>
  <si>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</si>
  <si>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</si>
  <si>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</si>
  <si>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</si>
  <si>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</si>
  <si>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</si>
  <si>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</si>
  <si>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</si>
  <si>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</si>
  <si>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</si>
  <si>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</si>
  <si>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</si>
  <si>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</si>
  <si>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</si>
  <si>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</si>
  <si>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</si>
  <si>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</si>
  <si>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</si>
  <si>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</si>
  <si>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</si>
  <si>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</si>
  <si>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</si>
  <si>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</si>
  <si>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</si>
  <si>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</si>
  <si>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</si>
  <si>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</si>
  <si>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</si>
  <si>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</si>
  <si>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</si>
  <si>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</si>
  <si>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</si>
  <si>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</si>
  <si>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</si>
  <si>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</si>
  <si>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</si>
  <si>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</si>
  <si>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</si>
  <si>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</si>
  <si>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</si>
  <si>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</si>
  <si>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</si>
  <si>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</si>
  <si>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</si>
  <si>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</si>
  <si>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</si>
  <si>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</si>
  <si>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</si>
  <si>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</si>
  <si>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</si>
  <si>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</si>
  <si>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</si>
  <si>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</si>
  <si>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</si>
  <si>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</si>
  <si>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</si>
  <si>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</si>
  <si>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</si>
  <si>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</si>
  <si>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</si>
  <si>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</si>
  <si>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</si>
  <si>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</si>
  <si>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</si>
  <si>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</si>
  <si>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</si>
  <si>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</si>
  <si>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</si>
  <si>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</si>
  <si>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</si>
  <si>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</si>
  <si>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</si>
  <si>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</si>
  <si>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</si>
  <si>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</si>
  <si>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</si>
  <si>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</si>
  <si>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</si>
  <si>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</si>
  <si>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</si>
  <si>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</si>
  <si>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</si>
  <si>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</si>
  <si>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</si>
  <si>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</si>
  <si>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</si>
  <si>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</si>
  <si>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</si>
  <si>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</si>
  <si>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</si>
  <si>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</si>
  <si>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</si>
  <si>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</si>
  <si>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</si>
  <si>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</si>
  <si>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</si>
  <si>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</si>
  <si>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</si>
  <si>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</si>
  <si>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</si>
  <si>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</si>
  <si>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</si>
  <si>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</si>
  <si>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</si>
  <si>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</si>
  <si>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</si>
  <si>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</si>
  <si>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</si>
  <si>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</si>
  <si>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</si>
  <si>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</si>
  <si>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</si>
  <si>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</si>
  <si>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</si>
  <si>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</si>
  <si>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</si>
  <si>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</si>
  <si>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</si>
  <si>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</si>
  <si>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</si>
  <si>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</si>
  <si>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</si>
  <si>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</si>
  <si>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</si>
  <si>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</si>
  <si>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</si>
  <si>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</si>
  <si>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</si>
  <si>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</si>
  <si>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</si>
  <si>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</si>
  <si>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</si>
  <si>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</si>
  <si>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</si>
  <si>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</si>
  <si>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</si>
  <si>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</si>
  <si>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</si>
  <si>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</si>
  <si>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</si>
  <si>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</si>
  <si>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</si>
  <si>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</si>
  <si>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</si>
  <si>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</si>
  <si>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</si>
  <si>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</si>
  <si>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</si>
  <si>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</si>
  <si>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</si>
  <si>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</si>
  <si>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</si>
  <si>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</si>
  <si>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</si>
  <si>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</si>
  <si>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</si>
  <si>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</si>
  <si>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</si>
  <si>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</si>
  <si>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</si>
  <si>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</si>
  <si>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</si>
  <si>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</si>
  <si>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</si>
  <si>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</si>
  <si>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</si>
  <si>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</si>
  <si>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</si>
  <si>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</si>
  <si>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</si>
  <si>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</si>
  <si>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</si>
  <si>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</si>
  <si>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</si>
  <si>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</si>
  <si>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</si>
  <si>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</si>
  <si>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</si>
  <si>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</si>
  <si>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</si>
  <si>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</si>
  <si>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</si>
  <si>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</si>
  <si>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</si>
  <si>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</si>
  <si>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</si>
  <si>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</si>
  <si>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</si>
  <si>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</si>
  <si>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</si>
  <si>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</si>
  <si>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</si>
  <si>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</si>
  <si>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</si>
  <si>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</si>
  <si>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</si>
  <si>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</si>
  <si>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</si>
  <si>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</si>
  <si>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</si>
  <si>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</si>
  <si>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</si>
  <si>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</si>
  <si>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</si>
  <si>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</si>
  <si>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</si>
  <si>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</si>
  <si>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</si>
  <si>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</si>
  <si>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</si>
  <si>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</si>
  <si>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</si>
  <si>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</si>
  <si>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</si>
  <si>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</si>
  <si>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</si>
  <si>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</si>
  <si>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</si>
  <si>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</si>
  <si>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</si>
  <si>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</si>
  <si>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</si>
  <si>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</si>
  <si>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</si>
  <si>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</si>
  <si>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</si>
  <si>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</si>
  <si>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</si>
  <si>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</si>
  <si>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</si>
  <si>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</si>
  <si>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</si>
  <si>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</si>
  <si>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</si>
  <si>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</si>
  <si>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</si>
  <si>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</si>
  <si>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</si>
  <si>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</si>
  <si>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</si>
  <si>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</si>
  <si>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</si>
  <si>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</si>
  <si>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</si>
  <si>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</si>
  <si>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</si>
  <si>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</si>
  <si>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</si>
  <si>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</si>
  <si>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</si>
  <si>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</si>
  <si>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</si>
  <si>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</si>
  <si>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</si>
  <si>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</si>
  <si>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</si>
  <si>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</si>
  <si>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</si>
  <si>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</si>
  <si>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</si>
  <si>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</si>
  <si>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</si>
  <si>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</si>
  <si>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</si>
  <si>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</si>
  <si>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</si>
  <si>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</si>
  <si>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</si>
  <si>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</si>
  <si>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</si>
  <si>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</si>
  <si>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</si>
  <si>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</si>
  <si>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</si>
  <si>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</si>
  <si>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</si>
  <si>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</si>
  <si>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</si>
  <si>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</si>
  <si>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</si>
  <si>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</si>
  <si>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</si>
  <si>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</si>
  <si>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</si>
  <si>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</si>
  <si>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</si>
  <si>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</si>
  <si>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</si>
  <si>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</si>
  <si>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</si>
  <si>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</si>
  <si>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</si>
  <si>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</si>
  <si>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</si>
  <si>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</si>
  <si>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</si>
  <si>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</si>
  <si>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</si>
  <si>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</si>
  <si>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</si>
  <si>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</si>
  <si>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</si>
  <si>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</si>
  <si>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</si>
  <si>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</si>
  <si>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</si>
  <si>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</si>
  <si>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</si>
  <si>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</si>
  <si>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</si>
  <si>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</si>
  <si>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</si>
  <si>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</si>
  <si>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</si>
  <si>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</si>
  <si>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</si>
  <si>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</si>
  <si>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</si>
  <si>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</si>
  <si>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</si>
  <si>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</si>
  <si>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</si>
  <si>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</si>
  <si>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</si>
  <si>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</si>
  <si>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</si>
  <si>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</si>
  <si>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</si>
  <si>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</si>
  <si>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</si>
  <si>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</si>
  <si>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</si>
  <si>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</si>
  <si>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</si>
  <si>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</si>
  <si>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</si>
  <si>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</si>
  <si>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</si>
  <si>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</si>
  <si>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</si>
  <si>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</si>
  <si>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</si>
  <si>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</si>
  <si>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</si>
  <si>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</si>
  <si>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</si>
  <si>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</si>
  <si>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</si>
  <si>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</si>
  <si>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</si>
  <si>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</si>
  <si>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</si>
  <si>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</si>
  <si>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</si>
  <si>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</si>
  <si>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</si>
  <si>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</si>
  <si>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</si>
  <si>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</si>
  <si>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</si>
  <si>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</si>
  <si>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</si>
  <si>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</si>
  <si>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</si>
  <si>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</si>
  <si>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</si>
  <si>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</si>
  <si>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</si>
  <si>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</si>
  <si>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</si>
  <si>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</si>
  <si>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</si>
  <si>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</si>
  <si>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</si>
  <si>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</si>
  <si>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</si>
  <si>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</si>
  <si>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</si>
  <si>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</si>
  <si>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</si>
  <si>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</si>
  <si>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</si>
  <si>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</si>
  <si>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</si>
  <si>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</si>
  <si>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</si>
  <si>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</si>
  <si>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</si>
  <si>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</si>
  <si>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</si>
  <si>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</si>
  <si>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</si>
  <si>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</si>
  <si>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</si>
  <si>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</si>
  <si>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</si>
  <si>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</si>
  <si>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</si>
  <si>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</si>
  <si>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</si>
  <si>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</si>
  <si>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</si>
  <si>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</si>
  <si>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</si>
  <si>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</si>
  <si>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</si>
  <si>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</si>
  <si>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</si>
  <si>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</si>
  <si>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</si>
  <si>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</si>
  <si>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</si>
  <si>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</si>
  <si>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</si>
  <si>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</si>
  <si>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</si>
  <si>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</si>
  <si>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</si>
  <si>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</si>
  <si>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</si>
  <si>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</si>
  <si>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</si>
  <si>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</si>
  <si>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</si>
  <si>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</si>
  <si>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</si>
  <si>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</si>
  <si>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</si>
  <si>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</si>
  <si>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</si>
  <si>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</si>
  <si>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</si>
  <si>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</si>
  <si>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</si>
  <si>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</si>
  <si>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</si>
  <si>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</si>
  <si>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</si>
  <si>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</si>
  <si>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</si>
  <si>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</si>
  <si>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</si>
  <si>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</si>
  <si>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</si>
  <si>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</si>
  <si>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</si>
  <si>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</si>
  <si>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t>[Insert Tile 3 Heading]</t>
  </si>
  <si>
    <t>[Insert Tile 5 Heading]</t>
  </si>
  <si>
    <t>Business Planning Summary (2)</t>
  </si>
  <si>
    <t>Custom Model Schematic Sheet</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</si>
  <si>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</si>
  <si>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</si>
  <si>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</si>
  <si>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</si>
  <si>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</si>
  <si>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The purpose of this model is to provide an example of a historical and forecast business planning model developed using bpmToolbox in accordance with the Best Practice Spreadsheet Modelling Standards.</t>
  </si>
  <si>
    <t>Cash Flow Statement - Historical Assumptions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</si>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</sst>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0">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u/>
      <sz val="8"/>
      <color indexed="60"/>
      <name val="Tahoma"/>
      <family val="2"/>
    </font>
    <font>
      <sz val="8"/>
      <color rgb="FFFFFFFF"/>
      <name val="Tahoma"/>
      <family val="2"/>
      <scheme val="major"/>
    </font>
  </fonts>
  <fills count="40">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58"/>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39">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5" fillId="0" borderId="0" xfId="56" applyFont="1" applyAlignment="1">
      <alignment horizontal="left" vertical="center"/>
    </xf>
    <xf numFmtId="0" fontId="13" fillId="0" borderId="0" xfId="98">
      <alignment vertical="center"/>
    </xf>
    <xf numFmtId="0" fontId="10" fillId="3" borderId="0" xfId="105" applyFill="1">
      <alignment vertical="center"/>
    </xf>
    <xf numFmtId="0" fontId="57" fillId="0" borderId="0" xfId="53" applyFont="1" applyBorder="1" applyAlignment="1">
      <alignment horizontal="left" vertical="center"/>
    </xf>
    <xf numFmtId="0" fontId="57" fillId="0" borderId="0" xfId="53" applyFont="1" applyBorder="1" applyAlignment="1">
      <alignment horizontal="center"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79" fillId="0" borderId="1" xfId="65" applyFont="1" applyBorder="1" applyAlignment="1">
      <alignment horizontal="center" vertical="center"/>
      <protection locked="0"/>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50" fillId="0" borderId="0" xfId="82">
      <alignment vertical="center"/>
    </xf>
    <xf numFmtId="0" fontId="49" fillId="0" borderId="0" xfId="80">
      <alignment vertical="center"/>
    </xf>
    <xf numFmtId="0" fontId="47" fillId="0" borderId="0" xfId="79">
      <alignment vertical="center"/>
    </xf>
    <xf numFmtId="0" fontId="49" fillId="0" borderId="0" xfId="80" applyAlignment="1">
      <alignment horizontal="right" vertical="center"/>
    </xf>
    <xf numFmtId="173" fontId="47" fillId="0" borderId="0" xfId="79" applyNumberFormat="1" applyAlignment="1">
      <alignment horizontal="right" vertical="center"/>
    </xf>
    <xf numFmtId="0" fontId="55" fillId="0" borderId="0" xfId="56" applyFont="1" applyFill="1" applyAlignment="1">
      <alignment vertical="top" wrapText="1"/>
    </xf>
    <xf numFmtId="0" fontId="55" fillId="0" borderId="0" xfId="56" applyFont="1" applyFill="1">
      <alignment vertical="center"/>
    </xf>
    <xf numFmtId="0" fontId="45" fillId="0" borderId="0" xfId="76" applyFill="1">
      <alignment vertical="center"/>
    </xf>
    <xf numFmtId="0" fontId="54" fillId="0" borderId="0" xfId="55"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quotePrefix="1" applyFont="1" applyFill="1" applyAlignment="1">
      <alignment vertical="top"/>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45" fillId="0" borderId="0" xfId="76" applyAlignment="1">
      <alignment horizontal="center" vertical="top"/>
    </xf>
    <xf numFmtId="0" fontId="0" fillId="39" borderId="38" xfId="0" applyFill="1" applyBorder="1">
      <alignment vertical="center"/>
    </xf>
    <xf numFmtId="0" fontId="0" fillId="39" borderId="39" xfId="0" applyFill="1" applyBorder="1">
      <alignment vertical="center"/>
    </xf>
    <xf numFmtId="0" fontId="5" fillId="0" borderId="0" xfId="77" applyAlignment="1">
      <alignment horizontal="center" vertical="top"/>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0" borderId="0" xfId="87" applyFont="1" applyFill="1" applyBorder="1"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xf numFmtId="0" fontId="76" fillId="38" borderId="38" xfId="87" applyFont="1" applyFill="1" applyBorder="1" applyAlignment="1">
      <alignment horizontal="center" vertical="center"/>
    </xf>
    <xf numFmtId="0" fontId="76" fillId="38" borderId="9" xfId="87" applyFont="1" applyFill="1" applyBorder="1" applyAlignment="1">
      <alignment horizontal="center" vertical="center"/>
    </xf>
    <xf numFmtId="0" fontId="76" fillId="38" borderId="3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82">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76463616"/>
        <c:axId val="276465152"/>
      </c:barChart>
      <c:catAx>
        <c:axId val="276463616"/>
        <c:scaling>
          <c:orientation val="minMax"/>
        </c:scaling>
        <c:axPos val="b"/>
        <c:tickLblPos val="nextTo"/>
        <c:txPr>
          <a:bodyPr/>
          <a:lstStyle/>
          <a:p>
            <a:pPr>
              <a:defRPr lang="en-AU"/>
            </a:pPr>
            <a:endParaRPr lang="en-US"/>
          </a:p>
        </c:txPr>
        <c:crossAx val="276465152"/>
        <c:crosses val="autoZero"/>
        <c:auto val="1"/>
        <c:lblAlgn val="ctr"/>
        <c:lblOffset val="100"/>
      </c:catAx>
      <c:valAx>
        <c:axId val="276465152"/>
        <c:scaling>
          <c:orientation val="minMax"/>
        </c:scaling>
        <c:axPos val="l"/>
        <c:numFmt formatCode="_(#,##0.0_);\(#,##0.0\);_(&quot;-&quot;_)" sourceLinked="1"/>
        <c:tickLblPos val="nextTo"/>
        <c:txPr>
          <a:bodyPr/>
          <a:lstStyle/>
          <a:p>
            <a:pPr>
              <a:defRPr lang="en-AU"/>
            </a:pPr>
            <a:endParaRPr lang="en-US"/>
          </a:p>
        </c:txPr>
        <c:crossAx val="276463616"/>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12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514304"/>
        <c:axId val="276516224"/>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76514304"/>
        <c:axId val="276516224"/>
      </c:lineChart>
      <c:catAx>
        <c:axId val="276514304"/>
        <c:scaling>
          <c:orientation val="minMax"/>
        </c:scaling>
        <c:axPos val="b"/>
        <c:numFmt formatCode="General" sourceLinked="1"/>
        <c:tickLblPos val="low"/>
        <c:txPr>
          <a:bodyPr/>
          <a:lstStyle/>
          <a:p>
            <a:pPr>
              <a:defRPr lang="en-AU"/>
            </a:pPr>
            <a:endParaRPr lang="en-US"/>
          </a:p>
        </c:txPr>
        <c:crossAx val="276516224"/>
        <c:crosses val="autoZero"/>
        <c:auto val="1"/>
        <c:lblAlgn val="ctr"/>
        <c:lblOffset val="100"/>
      </c:catAx>
      <c:valAx>
        <c:axId val="276516224"/>
        <c:scaling>
          <c:orientation val="minMax"/>
        </c:scaling>
        <c:axPos val="l"/>
        <c:numFmt formatCode="_(#,##0_);\(#,##0\);_(&quot;-&quot;_)" sourceLinked="1"/>
        <c:tickLblPos val="nextTo"/>
        <c:txPr>
          <a:bodyPr/>
          <a:lstStyle/>
          <a:p>
            <a:pPr>
              <a:defRPr lang="en-AU"/>
            </a:pPr>
            <a:endParaRPr lang="en-US"/>
          </a:p>
        </c:txPr>
        <c:crossAx val="276514304"/>
        <c:crosses val="autoZero"/>
        <c:crossBetween val="between"/>
      </c:valAx>
    </c:plotArea>
    <c:legend>
      <c:legendPos val="t"/>
      <c:layout>
        <c:manualLayout>
          <c:xMode val="edge"/>
          <c:yMode val="edge"/>
          <c:x val="0.14018584724263231"/>
          <c:y val="0.1042560879426801"/>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
          <c:w val="0.84857961234447221"/>
          <c:h val="0.50774180385911982"/>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76566016"/>
        <c:axId val="276567552"/>
      </c:barChart>
      <c:catAx>
        <c:axId val="276566016"/>
        <c:scaling>
          <c:orientation val="minMax"/>
        </c:scaling>
        <c:axPos val="b"/>
        <c:tickLblPos val="nextTo"/>
        <c:txPr>
          <a:bodyPr/>
          <a:lstStyle/>
          <a:p>
            <a:pPr>
              <a:defRPr lang="en-AU"/>
            </a:pPr>
            <a:endParaRPr lang="en-US"/>
          </a:p>
        </c:txPr>
        <c:crossAx val="276567552"/>
        <c:crosses val="autoZero"/>
        <c:auto val="1"/>
        <c:lblAlgn val="ctr"/>
        <c:lblOffset val="100"/>
      </c:catAx>
      <c:valAx>
        <c:axId val="276567552"/>
        <c:scaling>
          <c:orientation val="minMax"/>
        </c:scaling>
        <c:axPos val="l"/>
        <c:numFmt formatCode="_(#,##0_);\(#,##0\);_(&quot;-&quot;_)" sourceLinked="1"/>
        <c:tickLblPos val="nextTo"/>
        <c:txPr>
          <a:bodyPr/>
          <a:lstStyle/>
          <a:p>
            <a:pPr>
              <a:defRPr lang="en-AU"/>
            </a:pPr>
            <a:endParaRPr lang="en-US"/>
          </a:p>
        </c:txPr>
        <c:crossAx val="276566016"/>
        <c:crosses val="autoZero"/>
        <c:crossBetween val="between"/>
      </c:valAx>
    </c:plotArea>
    <c:legend>
      <c:legendPos val="t"/>
      <c:layout>
        <c:manualLayout>
          <c:xMode val="edge"/>
          <c:yMode val="edge"/>
          <c:x val="0.16047671748441447"/>
          <c:y val="0.12310185185185253"/>
          <c:w val="0.73614726725850876"/>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49"/>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600704"/>
        <c:axId val="276602240"/>
      </c:barChart>
      <c:catAx>
        <c:axId val="276600704"/>
        <c:scaling>
          <c:orientation val="minMax"/>
        </c:scaling>
        <c:axPos val="b"/>
        <c:tickLblPos val="nextTo"/>
        <c:txPr>
          <a:bodyPr/>
          <a:lstStyle/>
          <a:p>
            <a:pPr>
              <a:defRPr lang="en-AU"/>
            </a:pPr>
            <a:endParaRPr lang="en-US"/>
          </a:p>
        </c:txPr>
        <c:crossAx val="276602240"/>
        <c:crosses val="autoZero"/>
        <c:auto val="1"/>
        <c:lblAlgn val="ctr"/>
        <c:lblOffset val="100"/>
      </c:catAx>
      <c:valAx>
        <c:axId val="276602240"/>
        <c:scaling>
          <c:orientation val="minMax"/>
        </c:scaling>
        <c:axPos val="l"/>
        <c:numFmt formatCode="_(#,##0_);\(#,##0\);_(&quot;-&quot;_)" sourceLinked="1"/>
        <c:tickLblPos val="nextTo"/>
        <c:txPr>
          <a:bodyPr/>
          <a:lstStyle/>
          <a:p>
            <a:pPr>
              <a:defRPr lang="en-AU"/>
            </a:pPr>
            <a:endParaRPr lang="en-US"/>
          </a:p>
        </c:txPr>
        <c:crossAx val="276600704"/>
        <c:crosses val="autoZero"/>
        <c:crossBetween val="between"/>
      </c:valAx>
    </c:plotArea>
    <c:legend>
      <c:legendPos val="t"/>
      <c:layout>
        <c:manualLayout>
          <c:xMode val="edge"/>
          <c:yMode val="edge"/>
          <c:x val="0.20259287184841079"/>
          <c:y val="0.12310185185185253"/>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76717952"/>
        <c:axId val="276719488"/>
      </c:barChart>
      <c:catAx>
        <c:axId val="276717952"/>
        <c:scaling>
          <c:orientation val="minMax"/>
        </c:scaling>
        <c:axPos val="b"/>
        <c:tickLblPos val="nextTo"/>
        <c:txPr>
          <a:bodyPr/>
          <a:lstStyle/>
          <a:p>
            <a:pPr>
              <a:defRPr lang="en-AU"/>
            </a:pPr>
            <a:endParaRPr lang="en-US"/>
          </a:p>
        </c:txPr>
        <c:crossAx val="276719488"/>
        <c:crosses val="autoZero"/>
        <c:auto val="1"/>
        <c:lblAlgn val="ctr"/>
        <c:lblOffset val="100"/>
      </c:catAx>
      <c:valAx>
        <c:axId val="276719488"/>
        <c:scaling>
          <c:orientation val="minMax"/>
        </c:scaling>
        <c:axPos val="l"/>
        <c:numFmt formatCode="_(#,##0_);\(#,##0\);_(&quot;-&quot;_)" sourceLinked="1"/>
        <c:tickLblPos val="nextTo"/>
        <c:txPr>
          <a:bodyPr/>
          <a:lstStyle/>
          <a:p>
            <a:pPr>
              <a:defRPr lang="en-AU"/>
            </a:pPr>
            <a:endParaRPr lang="en-US"/>
          </a:p>
        </c:txPr>
        <c:crossAx val="276717952"/>
        <c:crosses val="autoZero"/>
        <c:crossBetween val="between"/>
      </c:valAx>
    </c:plotArea>
    <c:legend>
      <c:legendPos val="t"/>
      <c:layout>
        <c:manualLayout>
          <c:xMode val="edge"/>
          <c:yMode val="edge"/>
          <c:x val="0.26768147404731435"/>
          <c:y val="0.12310185185185252"/>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22"/>
          <c:w val="0.84857961234447288"/>
          <c:h val="0.50774180385912004"/>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76757120"/>
        <c:axId val="276763008"/>
      </c:barChart>
      <c:catAx>
        <c:axId val="276757120"/>
        <c:scaling>
          <c:orientation val="minMax"/>
        </c:scaling>
        <c:axPos val="b"/>
        <c:tickLblPos val="nextTo"/>
        <c:txPr>
          <a:bodyPr/>
          <a:lstStyle/>
          <a:p>
            <a:pPr>
              <a:defRPr lang="en-AU"/>
            </a:pPr>
            <a:endParaRPr lang="en-US"/>
          </a:p>
        </c:txPr>
        <c:crossAx val="276763008"/>
        <c:crosses val="autoZero"/>
        <c:auto val="1"/>
        <c:lblAlgn val="ctr"/>
        <c:lblOffset val="100"/>
      </c:catAx>
      <c:valAx>
        <c:axId val="276763008"/>
        <c:scaling>
          <c:orientation val="minMax"/>
        </c:scaling>
        <c:axPos val="l"/>
        <c:numFmt formatCode="_(#,##0_);\(#,##0\);_(&quot;-&quot;_)" sourceLinked="1"/>
        <c:tickLblPos val="nextTo"/>
        <c:txPr>
          <a:bodyPr/>
          <a:lstStyle/>
          <a:p>
            <a:pPr>
              <a:defRPr lang="en-AU"/>
            </a:pPr>
            <a:endParaRPr lang="en-US"/>
          </a:p>
        </c:txPr>
        <c:crossAx val="276757120"/>
        <c:crosses val="autoZero"/>
        <c:crossBetween val="between"/>
      </c:valAx>
    </c:plotArea>
    <c:legend>
      <c:legendPos val="t"/>
      <c:layout>
        <c:manualLayout>
          <c:xMode val="edge"/>
          <c:yMode val="edge"/>
          <c:x val="0.16047671748441447"/>
          <c:y val="0.12310185185185257"/>
          <c:w val="0.73614726725850921"/>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64643</xdr:colOff>
      <xdr:row>6</xdr:row>
      <xdr:rowOff>127</xdr:rowOff>
    </xdr:from>
    <xdr:to>
      <xdr:col>39</xdr:col>
      <xdr:colOff>285</xdr:colOff>
      <xdr:row>24</xdr:row>
      <xdr:rowOff>253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24.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25.bin"/><Relationship Id="rId4" Type="http://schemas.openxmlformats.org/officeDocument/2006/relationships/comments" Target="../comments6.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3.v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vmlDrawing" Target="../drawings/vmlDrawing26.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457</v>
      </c>
    </row>
    <row r="10" spans="3:7" ht="15">
      <c r="C10" s="3" t="str">
        <f ca="1">"SMA 7. Outputs &amp; Presentations - Practical Exercise (Solution)"&amp;Err_Chks_Msg&amp;Sens_Chks_Msg&amp;Alt_Chks_Msg</f>
        <v>SMA 7. Outputs &amp; Presentations - Practical Exercise (Solution)</v>
      </c>
    </row>
    <row r="11" spans="3:7">
      <c r="C11" s="270" t="s">
        <v>48</v>
      </c>
      <c r="D11" s="270"/>
      <c r="E11" s="270"/>
      <c r="F11" s="270"/>
      <c r="G11" s="270"/>
    </row>
    <row r="19" spans="3:14">
      <c r="C19" s="25" t="s">
        <v>288</v>
      </c>
    </row>
    <row r="21" spans="3:14">
      <c r="C21" s="25" t="s">
        <v>459</v>
      </c>
    </row>
    <row r="22" spans="3:14">
      <c r="C22" s="36" t="s">
        <v>202</v>
      </c>
      <c r="D22" s="170" t="s">
        <v>569</v>
      </c>
    </row>
    <row r="23" spans="3:14">
      <c r="C23" s="36" t="s">
        <v>202</v>
      </c>
      <c r="D23" s="271" t="s">
        <v>582</v>
      </c>
      <c r="E23" s="271"/>
      <c r="F23" s="271"/>
      <c r="G23" s="271"/>
      <c r="H23" s="271"/>
      <c r="I23" s="271"/>
      <c r="J23" s="271"/>
      <c r="K23" s="271"/>
      <c r="L23" s="271"/>
      <c r="M23" s="271"/>
      <c r="N23" s="271"/>
    </row>
    <row r="24" spans="3:14">
      <c r="C24" s="110"/>
      <c r="D24" s="271"/>
      <c r="E24" s="271"/>
      <c r="F24" s="271"/>
      <c r="G24" s="271"/>
      <c r="H24" s="271"/>
      <c r="I24" s="271"/>
      <c r="J24" s="271"/>
      <c r="K24" s="271"/>
      <c r="L24" s="271"/>
      <c r="M24" s="271"/>
      <c r="N24" s="271"/>
    </row>
    <row r="25" spans="3:14">
      <c r="C25" s="36" t="s">
        <v>202</v>
      </c>
      <c r="D25" s="170" t="s">
        <v>571</v>
      </c>
    </row>
    <row r="26" spans="3:14" s="15" customFormat="1">
      <c r="C26" s="259" t="s">
        <v>202</v>
      </c>
      <c r="D26" s="170" t="s">
        <v>568</v>
      </c>
      <c r="E26" s="5"/>
      <c r="F26" s="5"/>
      <c r="G26" s="5"/>
      <c r="H26" s="5"/>
      <c r="I26" s="5"/>
      <c r="J26" s="5"/>
      <c r="K26" s="5"/>
      <c r="L26" s="5"/>
      <c r="M26" s="5"/>
    </row>
    <row r="27" spans="3:14" s="15" customFormat="1">
      <c r="C27" s="259" t="s">
        <v>202</v>
      </c>
      <c r="D27" s="170" t="s">
        <v>577</v>
      </c>
      <c r="E27" s="5"/>
      <c r="F27" s="5"/>
      <c r="G27" s="5"/>
      <c r="H27" s="5"/>
      <c r="I27" s="5"/>
      <c r="J27" s="5"/>
      <c r="K27" s="5"/>
      <c r="L27" s="5"/>
      <c r="M27" s="5"/>
    </row>
    <row r="28" spans="3:14">
      <c r="C28" s="36" t="s">
        <v>202</v>
      </c>
      <c r="D28" s="147" t="s">
        <v>458</v>
      </c>
      <c r="H28" s="9" t="str">
        <f>Notes_BO!$B$1</f>
        <v>Model Notes</v>
      </c>
      <c r="I28" s="8"/>
    </row>
    <row r="33" spans="10:12">
      <c r="J33" s="15"/>
    </row>
    <row r="34" spans="10:12">
      <c r="L34" s="24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329</v>
      </c>
    </row>
    <row r="2" spans="1:11" ht="15">
      <c r="B2" s="41" t="str">
        <f ca="1">Model_Name</f>
        <v>SMA 7. Outputs &amp; Presentations - Practical Exercise (Solution)</v>
      </c>
    </row>
    <row r="3" spans="1:11">
      <c r="B3" s="304" t="s">
        <v>48</v>
      </c>
      <c r="C3" s="304"/>
      <c r="D3" s="304"/>
      <c r="E3" s="304"/>
      <c r="F3" s="304"/>
    </row>
    <row r="4" spans="1:11" ht="12.75">
      <c r="A4" s="43" t="s">
        <v>51</v>
      </c>
      <c r="B4" s="44" t="s">
        <v>53</v>
      </c>
      <c r="C4" s="45" t="s">
        <v>102</v>
      </c>
      <c r="D4" s="79" t="s">
        <v>205</v>
      </c>
      <c r="E4" s="79" t="s">
        <v>206</v>
      </c>
      <c r="F4" s="46" t="s">
        <v>207</v>
      </c>
    </row>
    <row r="7" spans="1:11" ht="12.75">
      <c r="B7" s="47" t="s">
        <v>329</v>
      </c>
    </row>
    <row r="9" spans="1:11" ht="11.25">
      <c r="C9" s="48" t="s">
        <v>347</v>
      </c>
    </row>
    <row r="11" spans="1:11">
      <c r="D11" s="49" t="s">
        <v>348</v>
      </c>
      <c r="J11" s="305" t="s">
        <v>187</v>
      </c>
      <c r="K11" s="305"/>
    </row>
    <row r="12" spans="1:11">
      <c r="D12" s="49" t="s">
        <v>340</v>
      </c>
      <c r="J12" s="306" t="str">
        <f>Annual</f>
        <v>Annual</v>
      </c>
      <c r="K12" s="306"/>
    </row>
    <row r="13" spans="1:11" ht="15.75" customHeight="1">
      <c r="D13" s="49" t="s">
        <v>349</v>
      </c>
      <c r="J13" s="53">
        <v>31</v>
      </c>
      <c r="K13" s="53">
        <v>12</v>
      </c>
    </row>
    <row r="14" spans="1:11">
      <c r="D14" s="49" t="s">
        <v>350</v>
      </c>
      <c r="J14" s="308">
        <v>40179</v>
      </c>
      <c r="K14" s="309"/>
    </row>
    <row r="15" spans="1:11">
      <c r="D15" s="49" t="s">
        <v>351</v>
      </c>
      <c r="J15" s="310">
        <v>8</v>
      </c>
      <c r="K15" s="310"/>
    </row>
    <row r="16" spans="1:11" ht="10.5" hidden="1" customHeight="1" outlineLevel="2">
      <c r="D16" s="49" t="s">
        <v>352</v>
      </c>
      <c r="J16" s="306" t="str">
        <f>INDEX(LU_Period_Type_Names,MATCH(TS_Periodicity,LU_Periodicity,0))</f>
        <v>Year</v>
      </c>
      <c r="K16" s="306"/>
    </row>
    <row r="17" spans="3:11" ht="10.5" hidden="1" customHeight="1" outlineLevel="2">
      <c r="D17" s="49" t="s">
        <v>353</v>
      </c>
      <c r="J17" s="311" t="str">
        <f>CHOOSE(MATCH(TS_Periodicity,LU_Periodicity,0),Yr_Name,"H","Q","M")</f>
        <v>Year</v>
      </c>
      <c r="K17" s="311"/>
    </row>
    <row r="18" spans="3:11" ht="10.5" hidden="1" customHeight="1" outlineLevel="2">
      <c r="D18" s="49" t="s">
        <v>354</v>
      </c>
      <c r="J18" s="311" t="b">
        <f>OR(AND(DD_TS_Fin_YE_Day&gt;=28,DD_TS_Fin_YE_Mth=2),
DD_TS_Fin_YE_Day&gt;=DAY(EOMONTH(DATE(YEAR(TS_Start_Date),DD_TS_Fin_YE_Mth,1),0)))</f>
        <v>1</v>
      </c>
      <c r="K18" s="311"/>
    </row>
    <row r="19" spans="3:11" ht="10.5" hidden="1" customHeight="1" outlineLevel="2">
      <c r="D19" s="49" t="s">
        <v>355</v>
      </c>
      <c r="J19" s="307">
        <f>IF(TS_Mth_End,DATE(YEAR(TS_Per_1_FY_End_Date)-IF(TS_Per_1_FY_End_Date=EOMONTH(DATE(YEAR(TS_Per_1_FY_End_Date),Mths_In_Yr,1),0),0,1),MOD(MONTH(TS_Per_1_FY_End_Date),Mths_In_Yr)+1,1),
EDATE(TS_Per_1_FY_End_Date,-Mths_In_Yr)+1)</f>
        <v>40179</v>
      </c>
      <c r="K19" s="307"/>
    </row>
    <row r="20" spans="3:11" ht="10.5" hidden="1" customHeight="1" outlineLevel="2">
      <c r="D20" s="49" t="s">
        <v>356</v>
      </c>
      <c r="J20" s="307">
        <f>IF(TS_Mth_End,EOMONTH(DATE(YEAR(TS_Start_Date)+IF(MONTH(TS_Start_Date)&gt;DD_TS_Fin_YE_Mth,1,0),DD_TS_Fin_YE_Mth,1),0),
DATE(YEAR(TS_Start_Date)+IF(TS_Start_Date&gt;DATE(YEAR(TS_Start_Date),DD_TS_Fin_YE_Mth,DD_TS_Fin_YE_Day),1,0),DD_TS_Fin_YE_Mth,DD_TS_Fin_YE_Day))</f>
        <v>40543</v>
      </c>
      <c r="K20" s="307"/>
    </row>
    <row r="21" spans="3:11" ht="10.5" hidden="1" customHeight="1" outlineLevel="2">
      <c r="D21" s="49" t="s">
        <v>345</v>
      </c>
      <c r="J21" s="312">
        <f>INDEX(LU_Pers_In_Yr,MATCH(TS_Periodicity,LU_Periodicity,0))</f>
        <v>1</v>
      </c>
      <c r="K21" s="312"/>
    </row>
    <row r="22" spans="3:11" ht="10.5" hidden="1" customHeight="1" outlineLevel="2">
      <c r="D22" s="49" t="s">
        <v>357</v>
      </c>
      <c r="J22" s="312">
        <f>Mths_In_Yr/TS_Pers_In_Yr</f>
        <v>12</v>
      </c>
      <c r="K22" s="312"/>
    </row>
    <row r="23" spans="3:11" ht="10.5" hidden="1" customHeight="1" outlineLevel="2">
      <c r="D23" s="49" t="s">
        <v>358</v>
      </c>
      <c r="J23" s="312">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12"/>
    </row>
    <row r="24" spans="3:11" ht="10.5" hidden="1" customHeight="1" outlineLevel="2">
      <c r="D24" s="49" t="s">
        <v>359</v>
      </c>
      <c r="J24" s="307">
        <f>IF(TS_Mth_End,EOMONTH(EDATE(TS_Per_1_FY_Start_Date,(TS_Per_1_Number-1)*TS_Mths_In_Per-1),0)+1,
EDATE(TS_Per_1_FY_Start_Date,(TS_Per_1_Number-1)*TS_Mths_In_Per))</f>
        <v>40179</v>
      </c>
      <c r="K24" s="307"/>
    </row>
    <row r="25" spans="3:11" ht="10.5" hidden="1" customHeight="1" outlineLevel="2">
      <c r="D25" s="49" t="s">
        <v>186</v>
      </c>
      <c r="J25" s="307">
        <f>IF(TS_Mth_End,EOMONTH(EDATE(TS_Per_1_FY_Start_Date,TS_Per_1_Number*TS_Mths_In_Per-1),0),
EDATE(TS_Per_1_FY_Start_Date,TS_Per_1_Number*TS_Mths_In_Per)-1)</f>
        <v>40543</v>
      </c>
      <c r="K25" s="307"/>
    </row>
    <row r="26" spans="3:11" ht="15.75" customHeight="1" collapsed="1">
      <c r="D26" s="49" t="s">
        <v>87</v>
      </c>
      <c r="J26" s="313">
        <v>2</v>
      </c>
      <c r="K26" s="314"/>
    </row>
    <row r="27" spans="3:11" ht="10.5" hidden="1" customHeight="1" outlineLevel="2">
      <c r="D27" s="49" t="s">
        <v>360</v>
      </c>
      <c r="J27" s="306" t="str">
        <f>INDEX(LU_Denom,DD_TS_Denom)</f>
        <v>$Millions</v>
      </c>
      <c r="K27" s="306"/>
    </row>
    <row r="28" spans="3:11" collapsed="1"/>
    <row r="29" spans="3:11" ht="11.25">
      <c r="C29" s="48" t="s">
        <v>361</v>
      </c>
    </row>
    <row r="31" spans="3:11" ht="17.25" customHeight="1">
      <c r="D31" s="49" t="s">
        <v>362</v>
      </c>
      <c r="J31" s="313" t="b">
        <v>1</v>
      </c>
      <c r="K31" s="314"/>
    </row>
    <row r="32" spans="3:11">
      <c r="D32" s="49" t="s">
        <v>363</v>
      </c>
      <c r="J32" s="315">
        <v>3</v>
      </c>
      <c r="K32" s="316"/>
    </row>
    <row r="33" spans="3:11">
      <c r="D33" s="49" t="s">
        <v>364</v>
      </c>
      <c r="J33" s="315">
        <v>0</v>
      </c>
      <c r="K33" s="316"/>
    </row>
    <row r="34" spans="3:11" ht="10.5" hidden="1" customHeight="1" outlineLevel="2">
      <c r="D34" s="49" t="s">
        <v>365</v>
      </c>
      <c r="J34" s="317" t="s">
        <v>383</v>
      </c>
      <c r="K34" s="318"/>
    </row>
    <row r="35" spans="3:11" ht="10.5" hidden="1" customHeight="1" outlineLevel="2">
      <c r="D35" s="49" t="s">
        <v>366</v>
      </c>
      <c r="J35" s="317" t="s">
        <v>384</v>
      </c>
      <c r="K35" s="318"/>
    </row>
    <row r="36" spans="3:11" ht="10.5" hidden="1" customHeight="1" outlineLevel="2">
      <c r="D36" s="49" t="s">
        <v>367</v>
      </c>
      <c r="J36" s="317" t="s">
        <v>385</v>
      </c>
      <c r="K36" s="318"/>
    </row>
    <row r="37" spans="3:11" collapsed="1"/>
    <row r="38" spans="3:11" ht="11.25">
      <c r="C38" s="48" t="s">
        <v>368</v>
      </c>
    </row>
    <row r="40" spans="3:11" ht="15.75" customHeight="1">
      <c r="D40" s="49" t="s">
        <v>336</v>
      </c>
      <c r="J40" s="313">
        <v>2</v>
      </c>
      <c r="K40" s="314"/>
    </row>
    <row r="41" spans="3:11">
      <c r="D41" s="49" t="s">
        <v>369</v>
      </c>
      <c r="J41" s="315">
        <v>3</v>
      </c>
      <c r="K41" s="316"/>
    </row>
    <row r="42" spans="3:11">
      <c r="D42" s="49" t="s">
        <v>370</v>
      </c>
      <c r="J42" s="308">
        <v>41275</v>
      </c>
      <c r="K42" s="309"/>
    </row>
    <row r="43" spans="3:11" hidden="1" outlineLevel="2"/>
    <row r="44" spans="3:11" hidden="1" outlineLevel="2">
      <c r="D44" s="50" t="s">
        <v>371</v>
      </c>
    </row>
    <row r="45" spans="3:11" hidden="1" outlineLevel="2"/>
    <row r="46" spans="3:11" ht="10.5" hidden="1" customHeight="1" outlineLevel="2">
      <c r="E46" s="49" t="s">
        <v>372</v>
      </c>
      <c r="J46" s="307">
        <f>TS_Proj_Start_Date-1</f>
        <v>41274</v>
      </c>
      <c r="K46" s="307"/>
    </row>
    <row r="47" spans="3:11" ht="10.5" hidden="1" customHeight="1" outlineLevel="2">
      <c r="E47" s="49" t="s">
        <v>373</v>
      </c>
      <c r="J47" s="319">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19"/>
    </row>
    <row r="48" spans="3:11" ht="10.5" hidden="1" customHeight="1" outlineLevel="2">
      <c r="E48" s="49" t="s">
        <v>374</v>
      </c>
      <c r="J48" s="312">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12"/>
    </row>
    <row r="49" spans="3:11" ht="10.5" hidden="1" customHeight="1" outlineLevel="2">
      <c r="E49" s="49" t="s">
        <v>375</v>
      </c>
      <c r="J49" s="306"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06"/>
    </row>
    <row r="50" spans="3:11" hidden="1" outlineLevel="2"/>
    <row r="51" spans="3:11" hidden="1" outlineLevel="2">
      <c r="D51" s="50" t="s">
        <v>376</v>
      </c>
    </row>
    <row r="52" spans="3:11" hidden="1" outlineLevel="2"/>
    <row r="53" spans="3:11" ht="10.5" hidden="1" customHeight="1" outlineLevel="2">
      <c r="E53" s="49" t="s">
        <v>377</v>
      </c>
      <c r="J53" s="307">
        <f>IF(DD_TS_Data_Term_Basis=1,IF(TS_Mth_End,EOMONTH(EDATE(TS_Per_1_FY_Start_Date,(TS_Per_1_Number+TS_Data_Pers_Ass-1)*TS_Mths_In_Per-1),0),
EDATE(TS_Per_1_FY_Start_Date,(TS_Per_1_Number+TS_Data_Pers_Ass-1)*TS_Mths_In_Per)-1)+1,TS_Proj_Start_Date_Ass)</f>
        <v>41275</v>
      </c>
      <c r="K53" s="307"/>
    </row>
    <row r="54" spans="3:11" ht="10.5" hidden="1" customHeight="1" outlineLevel="2">
      <c r="E54" s="49" t="s">
        <v>355</v>
      </c>
      <c r="J54" s="307">
        <f>IF(TS_Mth_End,DATE(YEAR(TS_Proj_Per_1_FY_End_Date)-IF(TS_Proj_Per_1_FY_End_Date=EOMONTH(DATE(YEAR(TS_Proj_Per_1_FY_End_Date),Mths_In_Yr,1),0),0,1),MOD(MONTH(TS_Proj_Per_1_FY_End_Date),Mths_In_Yr)+1,1),
EDATE(TS_Proj_Per_1_FY_End_Date,-Mths_In_Yr)+1)</f>
        <v>41275</v>
      </c>
      <c r="K54" s="307"/>
    </row>
    <row r="55" spans="3:11" ht="10.5" hidden="1" customHeight="1" outlineLevel="2">
      <c r="E55" s="49" t="s">
        <v>356</v>
      </c>
      <c r="J55" s="307">
        <f>IF(TS_Mth_End,EOMONTH(DATE(YEAR(TS_Proj_Start_Date)+IF(MONTH(TS_Proj_Start_Date)&gt;DD_TS_Fin_YE_Mth,1,0),DD_TS_Fin_YE_Mth,1),0),
DATE(YEAR(TS_Proj_Start_Date)+IF(TS_Proj_Start_Date&gt;DATE(YEAR(TS_Proj_Start_Date),DD_TS_Fin_YE_Mth,DD_TS_Fin_YE_Day),1,0),DD_TS_Fin_YE_Mth,DD_TS_Fin_YE_Day))</f>
        <v>41639</v>
      </c>
      <c r="K55" s="307"/>
    </row>
    <row r="56" spans="3:11" ht="10.5" hidden="1" customHeight="1" outlineLevel="2">
      <c r="E56" s="49" t="s">
        <v>358</v>
      </c>
      <c r="J56" s="312">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12"/>
    </row>
    <row r="57" spans="3:11" ht="10.5" hidden="1" customHeight="1" outlineLevel="2">
      <c r="E57" s="49" t="s">
        <v>359</v>
      </c>
      <c r="J57" s="307">
        <f>IF(TS_Mth_End,EOMONTH(EDATE(TS_Proj_Per_1_FY_Start_Date,(TS_Proj_Per_1_Number-1)*TS_Mths_In_Per-1),0)+
1,EDATE(TS_Proj_Per_1_FY_Start_Date,(TS_Proj_Per_1_Number-1)*TS_Mths_In_Per))</f>
        <v>41275</v>
      </c>
      <c r="K57" s="307"/>
    </row>
    <row r="58" spans="3:11" ht="10.5" hidden="1" customHeight="1" outlineLevel="2">
      <c r="E58" s="49" t="s">
        <v>186</v>
      </c>
      <c r="J58" s="307">
        <f>IF(TS_Mth_End,EOMONTH(EDATE(TS_Proj_Per_1_FY_Start_Date,TS_Proj_Per_1_Number*TS_Mths_In_Per-1),0),
EDATE(TS_Proj_Per_1_FY_Start_Date,TS_Proj_Per_1_Number*TS_Mths_In_Per)-1)</f>
        <v>41639</v>
      </c>
      <c r="K58" s="307"/>
    </row>
    <row r="59" spans="3:11" collapsed="1"/>
    <row r="60" spans="3:11">
      <c r="C60" s="50" t="s">
        <v>203</v>
      </c>
    </row>
    <row r="61" spans="3:11">
      <c r="C61" s="51" t="s">
        <v>202</v>
      </c>
      <c r="D61" s="49" t="s">
        <v>378</v>
      </c>
    </row>
    <row r="62" spans="3:11">
      <c r="C62" s="51" t="s">
        <v>202</v>
      </c>
      <c r="D62" s="49" t="s">
        <v>379</v>
      </c>
    </row>
    <row r="63" spans="3:11">
      <c r="C63" s="51" t="s">
        <v>202</v>
      </c>
      <c r="D63" s="49" t="s">
        <v>380</v>
      </c>
    </row>
    <row r="64" spans="3:11">
      <c r="C64" s="51" t="s">
        <v>202</v>
      </c>
      <c r="D64" s="52" t="s">
        <v>381</v>
      </c>
    </row>
    <row r="65" spans="3:4">
      <c r="C65" s="51" t="s">
        <v>202</v>
      </c>
      <c r="D65" s="52" t="s">
        <v>382</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81" priority="1" stopIfTrue="1">
      <formula>NOT(J$31)</formula>
    </cfRule>
  </conditionalFormatting>
  <conditionalFormatting sqref="J33">
    <cfRule type="expression" dxfId="80" priority="2" stopIfTrue="1">
      <formula>NOT(J$31)</formula>
    </cfRule>
  </conditionalFormatting>
  <conditionalFormatting sqref="J34">
    <cfRule type="expression" dxfId="79" priority="3" stopIfTrue="1">
      <formula>NOT(J$31)</formula>
    </cfRule>
  </conditionalFormatting>
  <conditionalFormatting sqref="J35">
    <cfRule type="expression" dxfId="78" priority="4" stopIfTrue="1">
      <formula>NOT(J$31)</formula>
    </cfRule>
  </conditionalFormatting>
  <conditionalFormatting sqref="J36">
    <cfRule type="expression" dxfId="77" priority="5" stopIfTrue="1">
      <formula>NOT(J$31)</formula>
    </cfRule>
  </conditionalFormatting>
  <conditionalFormatting sqref="J41">
    <cfRule type="expression" dxfId="76" priority="6" stopIfTrue="1">
      <formula>DD_TS_Data_Term_Basis&lt;&gt;1</formula>
    </cfRule>
  </conditionalFormatting>
  <conditionalFormatting sqref="J42">
    <cfRule type="expression" dxfId="75" priority="7" stopIfTrue="1">
      <formula>DD_TS_Data_Term_Basis&lt;&gt;2</formula>
    </cfRule>
    <cfRule type="cellIs" dxfId="74"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533</v>
      </c>
    </row>
    <row r="10" spans="3:7" ht="16.5">
      <c r="C10" s="27" t="s">
        <v>506</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182" t="s">
        <v>521</v>
      </c>
    </row>
    <row r="19" spans="3:3">
      <c r="C19" s="182"/>
    </row>
    <row r="20" spans="3:3">
      <c r="C20" s="182"/>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524</v>
      </c>
    </row>
    <row r="2" spans="1:17" ht="15">
      <c r="B2" s="41" t="str">
        <f ca="1">Model_Name</f>
        <v>SMA 7. Outputs &amp; Presentations - Practical Exercise (Solution)</v>
      </c>
    </row>
    <row r="3" spans="1:17">
      <c r="B3" s="304" t="s">
        <v>48</v>
      </c>
      <c r="C3" s="304"/>
      <c r="D3" s="304"/>
      <c r="E3" s="304"/>
      <c r="F3" s="304"/>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47</v>
      </c>
    </row>
    <row r="18" spans="3:17">
      <c r="D18" s="65" t="s">
        <v>224</v>
      </c>
      <c r="J18" s="114">
        <v>125</v>
      </c>
      <c r="K18" s="114">
        <v>128.125</v>
      </c>
      <c r="L18" s="114">
        <v>131.328125</v>
      </c>
      <c r="M18" s="114">
        <v>134.611328125</v>
      </c>
      <c r="N18" s="114">
        <v>137.97661132812499</v>
      </c>
      <c r="O18" s="114">
        <v>141.4260266113281</v>
      </c>
      <c r="P18" s="114">
        <v>144.96167727661128</v>
      </c>
      <c r="Q18" s="114">
        <v>148.58571920852654</v>
      </c>
    </row>
    <row r="19" spans="3:17">
      <c r="D19" s="65" t="s">
        <v>462</v>
      </c>
      <c r="J19" s="114">
        <v>-25</v>
      </c>
      <c r="K19" s="114">
        <v>-25.624999999999996</v>
      </c>
      <c r="L19" s="114">
        <v>-26.265624999999993</v>
      </c>
      <c r="M19" s="114">
        <v>-26.922265624999991</v>
      </c>
      <c r="N19" s="114">
        <v>-27.59532226562499</v>
      </c>
      <c r="O19" s="114">
        <v>-28.285205322265611</v>
      </c>
      <c r="P19" s="114">
        <v>-28.992335455322248</v>
      </c>
      <c r="Q19" s="114">
        <v>-29.717143841705301</v>
      </c>
    </row>
    <row r="20" spans="3:17">
      <c r="J20" s="82"/>
      <c r="K20" s="82"/>
      <c r="L20" s="82"/>
      <c r="M20" s="82"/>
      <c r="N20" s="82"/>
      <c r="O20" s="82"/>
      <c r="P20" s="82"/>
      <c r="Q20" s="82"/>
    </row>
    <row r="21" spans="3:17" ht="11.25">
      <c r="C21" s="61" t="s">
        <v>471</v>
      </c>
      <c r="J21" s="192">
        <f t="shared" ref="J21:Q21" si="8">J18+J19</f>
        <v>100</v>
      </c>
      <c r="K21" s="192">
        <f t="shared" si="8"/>
        <v>102.5</v>
      </c>
      <c r="L21" s="192">
        <f t="shared" si="8"/>
        <v>105.0625</v>
      </c>
      <c r="M21" s="192">
        <f t="shared" si="8"/>
        <v>107.68906250000001</v>
      </c>
      <c r="N21" s="192">
        <f t="shared" si="8"/>
        <v>110.3812890625</v>
      </c>
      <c r="O21" s="192">
        <f t="shared" si="8"/>
        <v>113.14082128906249</v>
      </c>
      <c r="P21" s="192">
        <f t="shared" si="8"/>
        <v>115.96934182128904</v>
      </c>
      <c r="Q21" s="192">
        <f t="shared" si="8"/>
        <v>118.86857536682123</v>
      </c>
    </row>
    <row r="22" spans="3:17">
      <c r="J22" s="82"/>
      <c r="K22" s="82"/>
      <c r="L22" s="82"/>
      <c r="M22" s="82"/>
      <c r="N22" s="82"/>
      <c r="O22" s="82"/>
      <c r="P22" s="82"/>
      <c r="Q22" s="82"/>
    </row>
    <row r="23" spans="3:17">
      <c r="D23" s="65" t="s">
        <v>236</v>
      </c>
      <c r="J23" s="114">
        <v>-40</v>
      </c>
      <c r="K23" s="114">
        <v>-41</v>
      </c>
      <c r="L23" s="114">
        <v>-42.024999999999999</v>
      </c>
      <c r="M23" s="114">
        <v>-43.075624999999995</v>
      </c>
      <c r="N23" s="114">
        <v>-44.152515624999992</v>
      </c>
      <c r="O23" s="114">
        <v>-45.256328515624986</v>
      </c>
      <c r="P23" s="114">
        <v>-46.387736728515605</v>
      </c>
      <c r="Q23" s="114">
        <v>-47.547430146728495</v>
      </c>
    </row>
    <row r="24" spans="3:17">
      <c r="J24" s="82"/>
      <c r="K24" s="82"/>
      <c r="L24" s="82"/>
      <c r="M24" s="82"/>
      <c r="N24" s="82"/>
      <c r="O24" s="82"/>
      <c r="P24" s="82"/>
      <c r="Q24" s="82"/>
    </row>
    <row r="25" spans="3:17" ht="11.25">
      <c r="C25" s="61" t="s">
        <v>10</v>
      </c>
      <c r="J25" s="192">
        <f>J21+J23</f>
        <v>60</v>
      </c>
      <c r="K25" s="192">
        <f t="shared" ref="K25:Q25" si="9">K21+K23</f>
        <v>61.5</v>
      </c>
      <c r="L25" s="192">
        <f t="shared" si="9"/>
        <v>63.037500000000001</v>
      </c>
      <c r="M25" s="192">
        <f t="shared" si="9"/>
        <v>64.613437500000003</v>
      </c>
      <c r="N25" s="192">
        <f t="shared" si="9"/>
        <v>66.22877343750001</v>
      </c>
      <c r="O25" s="192">
        <f t="shared" si="9"/>
        <v>67.884492773437501</v>
      </c>
      <c r="P25" s="192">
        <f t="shared" si="9"/>
        <v>69.58160509277343</v>
      </c>
      <c r="Q25" s="192">
        <f t="shared" si="9"/>
        <v>71.321145220092745</v>
      </c>
    </row>
    <row r="26" spans="3:17">
      <c r="J26" s="82"/>
      <c r="K26" s="82"/>
      <c r="L26" s="82"/>
      <c r="M26" s="82"/>
      <c r="N26" s="82"/>
      <c r="O26" s="82"/>
      <c r="P26" s="82"/>
      <c r="Q26" s="82"/>
    </row>
    <row r="27" spans="3:17">
      <c r="E27" s="65" t="s">
        <v>413</v>
      </c>
      <c r="J27" s="114">
        <v>-13.5</v>
      </c>
      <c r="K27" s="114">
        <v>-13.837499999999999</v>
      </c>
      <c r="L27" s="114">
        <v>-14.183437499999997</v>
      </c>
      <c r="M27" s="114">
        <v>-14.538023437499994</v>
      </c>
      <c r="N27" s="114">
        <v>-14.901474023437492</v>
      </c>
      <c r="O27" s="114">
        <v>-15.274010874023428</v>
      </c>
      <c r="P27" s="114">
        <v>-15.655861145874013</v>
      </c>
      <c r="Q27" s="114">
        <v>-16.047257674520861</v>
      </c>
    </row>
    <row r="28" spans="3:17">
      <c r="E28" s="65" t="s">
        <v>470</v>
      </c>
      <c r="J28" s="197">
        <v>-0.625</v>
      </c>
      <c r="K28" s="197">
        <v>-0.640625</v>
      </c>
      <c r="L28" s="197">
        <v>-0.65664062499999998</v>
      </c>
      <c r="M28" s="197">
        <v>-0.67305664062499992</v>
      </c>
      <c r="N28" s="197">
        <v>-0.68988305664062488</v>
      </c>
      <c r="O28" s="197">
        <v>-0.70713013305664041</v>
      </c>
      <c r="P28" s="197">
        <v>-0.72480838638305634</v>
      </c>
      <c r="Q28" s="197">
        <v>-0.74292859604263273</v>
      </c>
    </row>
    <row r="29" spans="3:17">
      <c r="D29" s="65" t="s">
        <v>472</v>
      </c>
      <c r="J29" s="198">
        <f>SUM(J27:J28)</f>
        <v>-14.125</v>
      </c>
      <c r="K29" s="198">
        <f t="shared" ref="K29:Q29" si="10">SUM(K27:K28)</f>
        <v>-14.478124999999999</v>
      </c>
      <c r="L29" s="198">
        <f t="shared" si="10"/>
        <v>-14.840078124999996</v>
      </c>
      <c r="M29" s="198">
        <f t="shared" si="10"/>
        <v>-15.211080078124994</v>
      </c>
      <c r="N29" s="198">
        <f t="shared" si="10"/>
        <v>-15.591357080078117</v>
      </c>
      <c r="O29" s="198">
        <f t="shared" si="10"/>
        <v>-15.981141007080069</v>
      </c>
      <c r="P29" s="198">
        <f t="shared" si="10"/>
        <v>-16.38066953225707</v>
      </c>
      <c r="Q29" s="198">
        <f t="shared" si="10"/>
        <v>-16.790186270563492</v>
      </c>
    </row>
    <row r="30" spans="3:17">
      <c r="J30" s="82"/>
      <c r="K30" s="82"/>
      <c r="L30" s="82"/>
      <c r="M30" s="82"/>
      <c r="N30" s="82"/>
      <c r="O30" s="82"/>
      <c r="P30" s="82"/>
      <c r="Q30" s="82"/>
    </row>
    <row r="31" spans="3:17" ht="11.25">
      <c r="C31" s="61" t="s">
        <v>11</v>
      </c>
      <c r="J31" s="192">
        <f t="shared" ref="J31:Q31" si="11">J25+J29</f>
        <v>45.875</v>
      </c>
      <c r="K31" s="192">
        <f t="shared" si="11"/>
        <v>47.021875000000001</v>
      </c>
      <c r="L31" s="192">
        <f t="shared" si="11"/>
        <v>48.197421875000003</v>
      </c>
      <c r="M31" s="192">
        <f t="shared" si="11"/>
        <v>49.40235742187501</v>
      </c>
      <c r="N31" s="192">
        <f t="shared" si="11"/>
        <v>50.637416357421891</v>
      </c>
      <c r="O31" s="192">
        <f t="shared" si="11"/>
        <v>51.903351766357432</v>
      </c>
      <c r="P31" s="192">
        <f t="shared" si="11"/>
        <v>53.200935560516356</v>
      </c>
      <c r="Q31" s="192">
        <f t="shared" si="11"/>
        <v>54.53095894952925</v>
      </c>
    </row>
    <row r="32" spans="3:17">
      <c r="J32" s="82"/>
      <c r="K32" s="82"/>
      <c r="L32" s="82"/>
      <c r="M32" s="82"/>
      <c r="N32" s="82"/>
      <c r="O32" s="82"/>
      <c r="P32" s="82"/>
      <c r="Q32" s="82"/>
    </row>
    <row r="33" spans="3:17">
      <c r="D33" s="65" t="s">
        <v>250</v>
      </c>
      <c r="J33" s="114">
        <v>-3.25</v>
      </c>
      <c r="K33" s="114">
        <v>-3.25</v>
      </c>
      <c r="L33" s="114">
        <v>-3.25</v>
      </c>
      <c r="M33" s="114">
        <v>-3.25</v>
      </c>
      <c r="N33" s="114">
        <v>-3.4125000000000001</v>
      </c>
      <c r="O33" s="114">
        <v>-3.5750000000000002</v>
      </c>
      <c r="P33" s="114">
        <v>-3.5750000000000002</v>
      </c>
      <c r="Q33" s="114">
        <v>-3.5750000000000002</v>
      </c>
    </row>
    <row r="34" spans="3:17">
      <c r="J34" s="82"/>
      <c r="K34" s="82"/>
      <c r="L34" s="82"/>
      <c r="M34" s="82"/>
      <c r="N34" s="82"/>
      <c r="O34" s="82"/>
      <c r="P34" s="82"/>
      <c r="Q34" s="82"/>
    </row>
    <row r="35" spans="3:17" ht="11.25">
      <c r="C35" s="61" t="s">
        <v>12</v>
      </c>
      <c r="J35" s="192">
        <f t="shared" ref="J35:Q35" si="12">J31+J33</f>
        <v>42.625</v>
      </c>
      <c r="K35" s="192">
        <f t="shared" si="12"/>
        <v>43.771875000000001</v>
      </c>
      <c r="L35" s="192">
        <f t="shared" si="12"/>
        <v>44.947421875000003</v>
      </c>
      <c r="M35" s="192">
        <f t="shared" si="12"/>
        <v>46.15235742187501</v>
      </c>
      <c r="N35" s="192">
        <f t="shared" si="12"/>
        <v>47.22491635742189</v>
      </c>
      <c r="O35" s="192">
        <f t="shared" si="12"/>
        <v>48.328351766357429</v>
      </c>
      <c r="P35" s="192">
        <f t="shared" si="12"/>
        <v>49.625935560516353</v>
      </c>
      <c r="Q35" s="192">
        <f t="shared" si="12"/>
        <v>50.955958949529247</v>
      </c>
    </row>
    <row r="36" spans="3:17">
      <c r="J36" s="82"/>
      <c r="K36" s="82"/>
      <c r="L36" s="82"/>
      <c r="M36" s="82"/>
      <c r="N36" s="82"/>
      <c r="O36" s="82"/>
      <c r="P36" s="82"/>
      <c r="Q36" s="82"/>
    </row>
    <row r="37" spans="3:17">
      <c r="D37" s="65" t="s">
        <v>7</v>
      </c>
      <c r="J37" s="114">
        <v>-12.7875</v>
      </c>
      <c r="K37" s="114">
        <v>-13.131562499999999</v>
      </c>
      <c r="L37" s="114">
        <v>-13.4842265625</v>
      </c>
      <c r="M37" s="114">
        <v>-13.845707226562503</v>
      </c>
      <c r="N37" s="114">
        <v>-14.167474907226566</v>
      </c>
      <c r="O37" s="114">
        <v>-14.498505529907227</v>
      </c>
      <c r="P37" s="114">
        <v>-14.887780668154907</v>
      </c>
      <c r="Q37" s="114">
        <v>-15.286787684858773</v>
      </c>
    </row>
    <row r="38" spans="3:17">
      <c r="J38" s="82"/>
      <c r="K38" s="82"/>
      <c r="L38" s="82"/>
      <c r="M38" s="82"/>
      <c r="N38" s="82"/>
      <c r="O38" s="82"/>
      <c r="P38" s="82"/>
      <c r="Q38" s="82"/>
    </row>
    <row r="39" spans="3:17" ht="12.75" thickBot="1">
      <c r="C39" s="193" t="s">
        <v>13</v>
      </c>
      <c r="J39" s="194">
        <f t="shared" ref="J39:Q39" si="13">J35+J37</f>
        <v>29.837499999999999</v>
      </c>
      <c r="K39" s="194">
        <f t="shared" si="13"/>
        <v>30.6403125</v>
      </c>
      <c r="L39" s="194">
        <f t="shared" si="13"/>
        <v>31.463195312500005</v>
      </c>
      <c r="M39" s="194">
        <f t="shared" si="13"/>
        <v>32.306650195312507</v>
      </c>
      <c r="N39" s="194">
        <f t="shared" si="13"/>
        <v>33.057441450195327</v>
      </c>
      <c r="O39" s="194">
        <f t="shared" si="13"/>
        <v>33.829846236450202</v>
      </c>
      <c r="P39" s="194">
        <f t="shared" si="13"/>
        <v>34.73815489236145</v>
      </c>
      <c r="Q39" s="194">
        <f t="shared" si="13"/>
        <v>35.669171264670474</v>
      </c>
    </row>
    <row r="40" spans="3:17" ht="11.25" thickTop="1"/>
    <row r="41" spans="3:17">
      <c r="C41" s="62" t="s">
        <v>203</v>
      </c>
    </row>
    <row r="42" spans="3:17" s="187" customFormat="1">
      <c r="C42" s="81">
        <v>1</v>
      </c>
      <c r="D42" s="130" t="str">
        <f>"All assumptions are entered in "&amp;INDEX(LU_Denom,DD_TS_Denom)&amp;"."</f>
        <v>All assumptions are entered in $Millions.</v>
      </c>
    </row>
    <row r="43" spans="3:17">
      <c r="C43" s="81">
        <v>2</v>
      </c>
      <c r="D43" s="65" t="s">
        <v>526</v>
      </c>
    </row>
  </sheetData>
  <mergeCells count="1">
    <mergeCell ref="B3:F3"/>
  </mergeCells>
  <conditionalFormatting sqref="J18:Q39">
    <cfRule type="expression" dxfId="73"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525</v>
      </c>
    </row>
    <row r="2" spans="1:17" ht="15">
      <c r="B2" s="41" t="str">
        <f ca="1">Model_Name</f>
        <v>SMA 7. Outputs &amp; Presentations - Practical Exercise (Solution)</v>
      </c>
    </row>
    <row r="3" spans="1:17">
      <c r="B3" s="304" t="s">
        <v>48</v>
      </c>
      <c r="C3" s="304"/>
      <c r="D3" s="304"/>
      <c r="E3" s="304"/>
      <c r="F3" s="304"/>
    </row>
    <row r="4" spans="1:17" ht="12.75">
      <c r="A4" s="43" t="s">
        <v>51</v>
      </c>
      <c r="B4" s="44" t="s">
        <v>53</v>
      </c>
      <c r="C4" s="45" t="s">
        <v>102</v>
      </c>
      <c r="D4" s="79" t="s">
        <v>205</v>
      </c>
      <c r="E4" s="79" t="s">
        <v>206</v>
      </c>
      <c r="F4" s="46" t="s">
        <v>207</v>
      </c>
    </row>
    <row r="6" spans="1:17">
      <c r="B6" s="54" t="str">
        <f>IF(TS_Data_Final_Stub,"Period End Date",IF(TS_Pers_In_Yr=1,"",TS_Per_Type_Name&amp;" Ending"))</f>
        <v/>
      </c>
      <c r="I6" s="204"/>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0</v>
      </c>
      <c r="I16" s="206" t="s">
        <v>530</v>
      </c>
    </row>
    <row r="17" spans="3:17">
      <c r="I17" s="207">
        <f>TS_Start_Date</f>
        <v>40179</v>
      </c>
    </row>
    <row r="18" spans="3:17" ht="11.25">
      <c r="C18" s="61" t="s">
        <v>30</v>
      </c>
    </row>
    <row r="20" spans="3:17" s="229" customFormat="1">
      <c r="E20" s="65" t="s">
        <v>279</v>
      </c>
      <c r="J20" s="231">
        <f>I22</f>
        <v>5</v>
      </c>
      <c r="K20" s="231">
        <f t="shared" ref="K20:Q20" si="8">J22</f>
        <v>7.5</v>
      </c>
      <c r="L20" s="231">
        <f t="shared" si="8"/>
        <v>12.148336900684967</v>
      </c>
      <c r="M20" s="231">
        <f t="shared" si="8"/>
        <v>24.635307976188827</v>
      </c>
      <c r="N20" s="231">
        <f t="shared" si="8"/>
        <v>37.449752117669078</v>
      </c>
      <c r="O20" s="231">
        <f t="shared" si="8"/>
        <v>55.514020321295732</v>
      </c>
      <c r="P20" s="231">
        <f t="shared" si="8"/>
        <v>68.879098355013014</v>
      </c>
      <c r="Q20" s="231">
        <f t="shared" si="8"/>
        <v>82.666715156101688</v>
      </c>
    </row>
    <row r="21" spans="3:17" s="229" customFormat="1">
      <c r="E21" s="65" t="s">
        <v>555</v>
      </c>
      <c r="J21" s="242">
        <f>J22-J20</f>
        <v>2.5</v>
      </c>
      <c r="K21" s="242">
        <f t="shared" ref="K21:Q21" si="9">K22-K20</f>
        <v>4.6483369006849671</v>
      </c>
      <c r="L21" s="242">
        <f t="shared" si="9"/>
        <v>12.48697107550386</v>
      </c>
      <c r="M21" s="242">
        <f t="shared" si="9"/>
        <v>12.814444141480251</v>
      </c>
      <c r="N21" s="242">
        <f t="shared" si="9"/>
        <v>18.064268203626654</v>
      </c>
      <c r="O21" s="242">
        <f t="shared" si="9"/>
        <v>13.365078033717282</v>
      </c>
      <c r="P21" s="242">
        <f t="shared" si="9"/>
        <v>13.787616801088674</v>
      </c>
      <c r="Q21" s="242">
        <f t="shared" si="9"/>
        <v>14.149085792645892</v>
      </c>
    </row>
    <row r="22" spans="3:17">
      <c r="D22" s="65" t="s">
        <v>487</v>
      </c>
      <c r="I22" s="114">
        <v>5</v>
      </c>
      <c r="J22" s="243">
        <v>7.5</v>
      </c>
      <c r="K22" s="243">
        <v>12.148336900684967</v>
      </c>
      <c r="L22" s="243">
        <v>24.635307976188827</v>
      </c>
      <c r="M22" s="243">
        <v>37.449752117669078</v>
      </c>
      <c r="N22" s="243">
        <v>55.514020321295732</v>
      </c>
      <c r="O22" s="243">
        <v>68.879098355013014</v>
      </c>
      <c r="P22" s="243">
        <v>82.666715156101688</v>
      </c>
      <c r="Q22" s="243">
        <v>96.815800948747579</v>
      </c>
    </row>
    <row r="23" spans="3:17">
      <c r="D23" s="65" t="s">
        <v>298</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c r="D24" s="65" t="s">
        <v>481</v>
      </c>
      <c r="I24" s="114">
        <v>3</v>
      </c>
      <c r="J24" s="114">
        <v>3</v>
      </c>
      <c r="K24" s="114">
        <v>4</v>
      </c>
      <c r="L24" s="114">
        <v>5</v>
      </c>
      <c r="M24" s="114">
        <v>6</v>
      </c>
      <c r="N24" s="114">
        <v>7</v>
      </c>
      <c r="O24" s="114">
        <v>8</v>
      </c>
      <c r="P24" s="114">
        <v>9</v>
      </c>
      <c r="Q24" s="114">
        <v>10</v>
      </c>
    </row>
    <row r="25" spans="3:17">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c r="I26" s="82"/>
      <c r="J26" s="82"/>
      <c r="K26" s="82"/>
      <c r="L26" s="82"/>
      <c r="M26" s="82"/>
      <c r="N26" s="82"/>
      <c r="O26" s="82"/>
      <c r="P26" s="82"/>
      <c r="Q26" s="82"/>
    </row>
    <row r="27" spans="3:17" ht="11.25">
      <c r="C27" s="61" t="s">
        <v>31</v>
      </c>
      <c r="I27" s="82"/>
      <c r="J27" s="82"/>
      <c r="K27" s="82"/>
      <c r="L27" s="82"/>
      <c r="M27" s="82"/>
      <c r="N27" s="82"/>
      <c r="O27" s="82"/>
      <c r="P27" s="82"/>
      <c r="Q27" s="82"/>
    </row>
    <row r="28" spans="3:17">
      <c r="I28" s="82"/>
      <c r="J28" s="82"/>
      <c r="K28" s="82"/>
      <c r="L28" s="82"/>
      <c r="M28" s="82"/>
      <c r="N28" s="82"/>
      <c r="O28" s="82"/>
      <c r="P28" s="82"/>
      <c r="Q28" s="82"/>
    </row>
    <row r="29" spans="3:17">
      <c r="D29" s="65" t="s">
        <v>455</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c r="D30" s="65" t="s">
        <v>473</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c r="D31" s="65" t="s">
        <v>3</v>
      </c>
      <c r="I31" s="114">
        <v>0</v>
      </c>
      <c r="J31" s="114">
        <v>0</v>
      </c>
      <c r="K31" s="114">
        <v>0</v>
      </c>
      <c r="L31" s="114">
        <v>0</v>
      </c>
      <c r="M31" s="114">
        <v>0</v>
      </c>
      <c r="N31" s="114">
        <v>0</v>
      </c>
      <c r="O31" s="114">
        <v>0</v>
      </c>
      <c r="P31" s="114">
        <v>0</v>
      </c>
      <c r="Q31" s="114">
        <v>0</v>
      </c>
    </row>
    <row r="32" spans="3:17">
      <c r="D32" s="65" t="s">
        <v>483</v>
      </c>
      <c r="I32" s="114">
        <v>4</v>
      </c>
      <c r="J32" s="114">
        <v>4</v>
      </c>
      <c r="K32" s="114">
        <v>5</v>
      </c>
      <c r="L32" s="114">
        <v>6</v>
      </c>
      <c r="M32" s="114">
        <v>7</v>
      </c>
      <c r="N32" s="114">
        <v>8</v>
      </c>
      <c r="O32" s="114">
        <v>9</v>
      </c>
      <c r="P32" s="114">
        <v>10</v>
      </c>
      <c r="Q32" s="114">
        <v>11</v>
      </c>
    </row>
    <row r="33" spans="3:17">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c r="I34" s="82"/>
      <c r="J34" s="82"/>
      <c r="K34" s="82"/>
      <c r="L34" s="82"/>
      <c r="M34" s="82"/>
      <c r="N34" s="82"/>
      <c r="O34" s="82"/>
      <c r="P34" s="82"/>
      <c r="Q34" s="82"/>
    </row>
    <row r="35" spans="3:17" ht="11.25">
      <c r="C35" s="61" t="s">
        <v>32</v>
      </c>
      <c r="I35" s="192">
        <f t="shared" ref="I35:Q35" si="12">I25+I33</f>
        <v>182.14897260273972</v>
      </c>
      <c r="J35" s="192">
        <f t="shared" si="12"/>
        <v>184.64897260273972</v>
      </c>
      <c r="K35" s="192">
        <f t="shared" si="12"/>
        <v>195.01353381849319</v>
      </c>
      <c r="L35" s="192">
        <f t="shared" si="12"/>
        <v>213.28014276102488</v>
      </c>
      <c r="M35" s="192">
        <f t="shared" si="12"/>
        <v>232.02843712944136</v>
      </c>
      <c r="N35" s="192">
        <f t="shared" si="12"/>
        <v>256.09467245836231</v>
      </c>
      <c r="O35" s="192">
        <f t="shared" si="12"/>
        <v>275.56176679550629</v>
      </c>
      <c r="P35" s="192">
        <f t="shared" si="12"/>
        <v>295.52139659611464</v>
      </c>
      <c r="Q35" s="192">
        <f t="shared" si="12"/>
        <v>316.01271697904082</v>
      </c>
    </row>
    <row r="36" spans="3:17">
      <c r="I36" s="82"/>
      <c r="J36" s="82"/>
      <c r="K36" s="82"/>
      <c r="L36" s="82"/>
      <c r="M36" s="82"/>
      <c r="N36" s="82"/>
      <c r="O36" s="82"/>
      <c r="P36" s="82"/>
      <c r="Q36" s="82"/>
    </row>
    <row r="37" spans="3:17" ht="11.25">
      <c r="C37" s="61" t="s">
        <v>33</v>
      </c>
      <c r="I37" s="82"/>
      <c r="J37" s="82"/>
      <c r="K37" s="82"/>
      <c r="L37" s="82"/>
      <c r="M37" s="82"/>
      <c r="N37" s="82"/>
      <c r="O37" s="82"/>
      <c r="P37" s="82"/>
      <c r="Q37" s="82"/>
    </row>
    <row r="38" spans="3:17">
      <c r="I38" s="82"/>
      <c r="J38" s="82"/>
      <c r="K38" s="82"/>
      <c r="L38" s="82"/>
      <c r="M38" s="82"/>
      <c r="N38" s="82"/>
      <c r="O38" s="82"/>
      <c r="P38" s="82"/>
      <c r="Q38" s="82"/>
    </row>
    <row r="39" spans="3:17">
      <c r="D39" s="65" t="s">
        <v>299</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c r="D41" s="65" t="s">
        <v>540</v>
      </c>
      <c r="I41" s="114">
        <v>0</v>
      </c>
      <c r="J41" s="114">
        <v>0</v>
      </c>
      <c r="K41" s="114">
        <v>0</v>
      </c>
      <c r="L41" s="114">
        <v>0</v>
      </c>
      <c r="M41" s="114">
        <v>0</v>
      </c>
      <c r="N41" s="114">
        <v>0</v>
      </c>
      <c r="O41" s="114">
        <v>0</v>
      </c>
      <c r="P41" s="114">
        <v>0</v>
      </c>
      <c r="Q41" s="114">
        <v>0</v>
      </c>
    </row>
    <row r="42" spans="3:17">
      <c r="D42" s="65" t="s">
        <v>34</v>
      </c>
      <c r="I42" s="114">
        <v>0</v>
      </c>
      <c r="J42" s="114">
        <v>0</v>
      </c>
      <c r="K42" s="114">
        <v>0</v>
      </c>
      <c r="L42" s="114">
        <v>0</v>
      </c>
      <c r="M42" s="114">
        <v>0</v>
      </c>
      <c r="N42" s="114">
        <v>0</v>
      </c>
      <c r="O42" s="114">
        <v>0</v>
      </c>
      <c r="P42" s="114">
        <v>0</v>
      </c>
      <c r="Q42" s="114">
        <v>0</v>
      </c>
    </row>
    <row r="43" spans="3:17">
      <c r="D43" s="65" t="s">
        <v>482</v>
      </c>
      <c r="I43" s="114">
        <v>5</v>
      </c>
      <c r="J43" s="114">
        <v>5</v>
      </c>
      <c r="K43" s="114">
        <v>6</v>
      </c>
      <c r="L43" s="114">
        <v>7</v>
      </c>
      <c r="M43" s="114">
        <v>8</v>
      </c>
      <c r="N43" s="114">
        <v>9</v>
      </c>
      <c r="O43" s="114">
        <v>10</v>
      </c>
      <c r="P43" s="114">
        <v>11</v>
      </c>
      <c r="Q43" s="114">
        <v>12</v>
      </c>
    </row>
    <row r="44" spans="3:17">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c r="I45" s="82"/>
      <c r="J45" s="82"/>
      <c r="K45" s="82"/>
      <c r="L45" s="82"/>
      <c r="M45" s="82"/>
      <c r="N45" s="82"/>
      <c r="O45" s="82"/>
      <c r="P45" s="82"/>
      <c r="Q45" s="82"/>
    </row>
    <row r="46" spans="3:17" ht="11.25">
      <c r="C46" s="61" t="s">
        <v>35</v>
      </c>
      <c r="I46" s="82"/>
      <c r="J46" s="82"/>
      <c r="K46" s="82"/>
      <c r="L46" s="82"/>
      <c r="M46" s="82"/>
      <c r="N46" s="82"/>
      <c r="O46" s="82"/>
      <c r="P46" s="82"/>
      <c r="Q46" s="82"/>
    </row>
    <row r="47" spans="3:17">
      <c r="I47" s="82"/>
      <c r="J47" s="82"/>
      <c r="K47" s="82"/>
      <c r="L47" s="82"/>
      <c r="M47" s="82"/>
      <c r="N47" s="82"/>
      <c r="O47" s="82"/>
      <c r="P47" s="82"/>
      <c r="Q47" s="82"/>
    </row>
    <row r="48" spans="3:17">
      <c r="D48" s="65" t="s">
        <v>254</v>
      </c>
      <c r="I48" s="114">
        <v>50</v>
      </c>
      <c r="J48" s="114">
        <v>50</v>
      </c>
      <c r="K48" s="114">
        <v>50</v>
      </c>
      <c r="L48" s="114">
        <v>50</v>
      </c>
      <c r="M48" s="114">
        <v>50</v>
      </c>
      <c r="N48" s="114">
        <v>55</v>
      </c>
      <c r="O48" s="114">
        <v>55</v>
      </c>
      <c r="P48" s="114">
        <v>55</v>
      </c>
      <c r="Q48" s="114">
        <v>55</v>
      </c>
    </row>
    <row r="49" spans="3:17">
      <c r="D49" s="65" t="s">
        <v>4</v>
      </c>
      <c r="I49" s="114">
        <v>0</v>
      </c>
      <c r="J49" s="114">
        <v>0</v>
      </c>
      <c r="K49" s="114">
        <v>0</v>
      </c>
      <c r="L49" s="114">
        <v>0</v>
      </c>
      <c r="M49" s="114">
        <v>0</v>
      </c>
      <c r="N49" s="114">
        <v>0</v>
      </c>
      <c r="O49" s="114">
        <v>0</v>
      </c>
      <c r="P49" s="114">
        <v>0</v>
      </c>
      <c r="Q49" s="114">
        <v>0</v>
      </c>
    </row>
    <row r="50" spans="3:17">
      <c r="D50" s="65" t="s">
        <v>484</v>
      </c>
      <c r="I50" s="114">
        <v>6</v>
      </c>
      <c r="J50" s="114">
        <v>6</v>
      </c>
      <c r="K50" s="114">
        <v>7</v>
      </c>
      <c r="L50" s="114">
        <v>8</v>
      </c>
      <c r="M50" s="114">
        <v>9</v>
      </c>
      <c r="N50" s="114">
        <v>10</v>
      </c>
      <c r="O50" s="114">
        <v>11</v>
      </c>
      <c r="P50" s="114">
        <v>12</v>
      </c>
      <c r="Q50" s="114">
        <v>13</v>
      </c>
    </row>
    <row r="51" spans="3:17">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c r="I52" s="82"/>
      <c r="J52" s="82"/>
      <c r="K52" s="82"/>
      <c r="L52" s="82"/>
      <c r="M52" s="82"/>
      <c r="N52" s="82"/>
      <c r="O52" s="82"/>
      <c r="P52" s="82"/>
      <c r="Q52" s="82"/>
    </row>
    <row r="53" spans="3:17" ht="11.25">
      <c r="C53" s="61" t="s">
        <v>36</v>
      </c>
      <c r="I53" s="192">
        <f t="shared" ref="I53:Q53" si="15">I44+I51</f>
        <v>81.80119863013698</v>
      </c>
      <c r="J53" s="192">
        <f t="shared" si="15"/>
        <v>81.80119863013698</v>
      </c>
      <c r="K53" s="192">
        <f t="shared" si="15"/>
        <v>84.34560359589041</v>
      </c>
      <c r="L53" s="192">
        <f t="shared" si="15"/>
        <v>86.880614882172125</v>
      </c>
      <c r="M53" s="192">
        <f t="shared" si="15"/>
        <v>89.47558415293237</v>
      </c>
      <c r="N53" s="192">
        <f t="shared" si="15"/>
        <v>97.013098756755682</v>
      </c>
      <c r="O53" s="192">
        <f t="shared" si="15"/>
        <v>99.565269975674568</v>
      </c>
      <c r="P53" s="192">
        <f t="shared" si="15"/>
        <v>102.15582233010218</v>
      </c>
      <c r="Q53" s="192">
        <f t="shared" si="15"/>
        <v>104.81255708069308</v>
      </c>
    </row>
    <row r="54" spans="3:17">
      <c r="I54" s="82"/>
      <c r="J54" s="82"/>
      <c r="K54" s="82"/>
      <c r="L54" s="82"/>
      <c r="M54" s="82"/>
      <c r="N54" s="82"/>
      <c r="O54" s="82"/>
      <c r="P54" s="82"/>
      <c r="Q54" s="82"/>
    </row>
    <row r="55" spans="3:17" ht="12" thickBot="1">
      <c r="C55" s="61" t="s">
        <v>37</v>
      </c>
      <c r="I55" s="194">
        <f t="shared" ref="I55:Q55" si="16">I35-I53</f>
        <v>100.34777397260274</v>
      </c>
      <c r="J55" s="194">
        <f t="shared" si="16"/>
        <v>102.84777397260274</v>
      </c>
      <c r="K55" s="194">
        <f t="shared" si="16"/>
        <v>110.66793022260278</v>
      </c>
      <c r="L55" s="194">
        <f t="shared" si="16"/>
        <v>126.39952787885275</v>
      </c>
      <c r="M55" s="194">
        <f t="shared" si="16"/>
        <v>142.55285297650897</v>
      </c>
      <c r="N55" s="194">
        <f t="shared" si="16"/>
        <v>159.08157370160663</v>
      </c>
      <c r="O55" s="194">
        <f t="shared" si="16"/>
        <v>175.99649681983172</v>
      </c>
      <c r="P55" s="194">
        <f t="shared" si="16"/>
        <v>193.36557426601246</v>
      </c>
      <c r="Q55" s="194">
        <f t="shared" si="16"/>
        <v>211.20015989834775</v>
      </c>
    </row>
    <row r="56" spans="3:17" ht="11.25" thickTop="1">
      <c r="I56" s="82"/>
      <c r="J56" s="82"/>
      <c r="K56" s="82"/>
      <c r="L56" s="82"/>
      <c r="M56" s="82"/>
      <c r="N56" s="82"/>
      <c r="O56" s="82"/>
      <c r="P56" s="82"/>
      <c r="Q56" s="82"/>
    </row>
    <row r="57" spans="3:17" ht="11.25">
      <c r="C57" s="61" t="s">
        <v>38</v>
      </c>
      <c r="I57" s="82"/>
      <c r="J57" s="82"/>
      <c r="K57" s="82"/>
      <c r="L57" s="82"/>
      <c r="M57" s="82"/>
      <c r="N57" s="82"/>
      <c r="O57" s="82"/>
      <c r="P57" s="82"/>
      <c r="Q57" s="82"/>
    </row>
    <row r="58" spans="3:17">
      <c r="I58" s="82"/>
      <c r="J58" s="82"/>
      <c r="K58" s="82"/>
      <c r="L58" s="82"/>
      <c r="M58" s="82"/>
      <c r="N58" s="82"/>
      <c r="O58" s="82"/>
      <c r="P58" s="82"/>
      <c r="Q58" s="82"/>
    </row>
    <row r="59" spans="3:17">
      <c r="D59" s="65" t="s">
        <v>271</v>
      </c>
      <c r="I59" s="114">
        <v>75</v>
      </c>
      <c r="J59" s="114">
        <v>75</v>
      </c>
      <c r="K59" s="114">
        <v>75</v>
      </c>
      <c r="L59" s="114">
        <v>75</v>
      </c>
      <c r="M59" s="114">
        <v>75</v>
      </c>
      <c r="N59" s="114">
        <v>75</v>
      </c>
      <c r="O59" s="114">
        <v>75</v>
      </c>
      <c r="P59" s="114">
        <v>75</v>
      </c>
      <c r="Q59" s="114">
        <v>75</v>
      </c>
    </row>
    <row r="60" spans="3:17" s="204" customFormat="1">
      <c r="D60" s="65" t="s">
        <v>556</v>
      </c>
      <c r="I60" s="114">
        <v>5</v>
      </c>
      <c r="J60" s="114">
        <v>5</v>
      </c>
      <c r="K60" s="114">
        <v>5</v>
      </c>
      <c r="L60" s="114">
        <v>5</v>
      </c>
      <c r="M60" s="114">
        <v>5</v>
      </c>
      <c r="N60" s="114">
        <v>5</v>
      </c>
      <c r="O60" s="114">
        <v>5</v>
      </c>
      <c r="P60" s="114">
        <v>5</v>
      </c>
      <c r="Q60" s="114">
        <v>5</v>
      </c>
    </row>
    <row r="61" spans="3:17" s="204" customFormat="1">
      <c r="E61" s="65" t="s">
        <v>531</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c r="E62" s="65" t="s">
        <v>532</v>
      </c>
      <c r="I62" s="239">
        <f>I55-SUM(I59:I61)</f>
        <v>0</v>
      </c>
      <c r="J62" s="239">
        <f t="shared" ref="J62:Q62" si="17">J55-SUM(J59:J61)</f>
        <v>0</v>
      </c>
      <c r="K62" s="239">
        <f t="shared" si="17"/>
        <v>0</v>
      </c>
      <c r="L62" s="239">
        <f t="shared" si="17"/>
        <v>0</v>
      </c>
      <c r="M62" s="239">
        <f t="shared" si="17"/>
        <v>0</v>
      </c>
      <c r="N62" s="239">
        <f t="shared" si="17"/>
        <v>0</v>
      </c>
      <c r="O62" s="239">
        <f t="shared" si="17"/>
        <v>0</v>
      </c>
      <c r="P62" s="239">
        <f t="shared" si="17"/>
        <v>0</v>
      </c>
      <c r="Q62" s="239">
        <f t="shared" si="17"/>
        <v>0</v>
      </c>
    </row>
    <row r="63" spans="3:17">
      <c r="D63" s="65" t="s">
        <v>39</v>
      </c>
      <c r="I63" s="231">
        <f>SUM(I61:I62)</f>
        <v>20.347773972602738</v>
      </c>
      <c r="J63" s="231">
        <f t="shared" ref="J63:Q63" si="18">SUM(J61:J62)</f>
        <v>22.847773972602738</v>
      </c>
      <c r="K63" s="231">
        <f t="shared" si="18"/>
        <v>30.667930222602777</v>
      </c>
      <c r="L63" s="231">
        <f t="shared" si="18"/>
        <v>46.399527878852751</v>
      </c>
      <c r="M63" s="231">
        <f t="shared" si="18"/>
        <v>62.552852976508973</v>
      </c>
      <c r="N63" s="231">
        <f t="shared" si="18"/>
        <v>79.081573701606629</v>
      </c>
      <c r="O63" s="231">
        <f t="shared" si="18"/>
        <v>95.996496819831719</v>
      </c>
      <c r="P63" s="231">
        <f t="shared" si="18"/>
        <v>113.36557426601246</v>
      </c>
      <c r="Q63" s="231">
        <f t="shared" si="18"/>
        <v>131.20015989834775</v>
      </c>
    </row>
    <row r="64" spans="3:17">
      <c r="I64" s="82"/>
      <c r="J64" s="82"/>
      <c r="K64" s="82"/>
      <c r="L64" s="82"/>
      <c r="M64" s="82"/>
      <c r="N64" s="82"/>
      <c r="O64" s="82"/>
      <c r="P64" s="82"/>
      <c r="Q64" s="82"/>
    </row>
    <row r="65" spans="3:17" ht="12" thickBot="1">
      <c r="C65" s="128" t="str">
        <f>"Total "&amp;C57</f>
        <v>Total Equity</v>
      </c>
      <c r="I65" s="194">
        <f>I59+I60+I63</f>
        <v>100.34777397260274</v>
      </c>
      <c r="J65" s="194">
        <f t="shared" ref="J65:Q65" si="19">J59+J60+J63</f>
        <v>102.84777397260274</v>
      </c>
      <c r="K65" s="194">
        <f t="shared" si="19"/>
        <v>110.66793022260278</v>
      </c>
      <c r="L65" s="194">
        <f t="shared" si="19"/>
        <v>126.39952787885275</v>
      </c>
      <c r="M65" s="194">
        <f t="shared" si="19"/>
        <v>142.55285297650897</v>
      </c>
      <c r="N65" s="194">
        <f t="shared" si="19"/>
        <v>159.08157370160663</v>
      </c>
      <c r="O65" s="194">
        <f t="shared" si="19"/>
        <v>175.99649681983172</v>
      </c>
      <c r="P65" s="194">
        <f t="shared" si="19"/>
        <v>193.36557426601246</v>
      </c>
      <c r="Q65" s="194">
        <f t="shared" si="19"/>
        <v>211.20015989834775</v>
      </c>
    </row>
    <row r="66" spans="3:17" s="204" customFormat="1" ht="12" thickTop="1">
      <c r="C66" s="128"/>
      <c r="I66" s="241"/>
      <c r="J66" s="241"/>
      <c r="K66" s="241"/>
      <c r="L66" s="241"/>
      <c r="M66" s="241"/>
      <c r="N66" s="241"/>
      <c r="O66" s="241"/>
      <c r="P66" s="241"/>
      <c r="Q66" s="241"/>
    </row>
    <row r="67" spans="3:17" s="204" customFormat="1" hidden="1" outlineLevel="2">
      <c r="D67" s="65" t="s">
        <v>563</v>
      </c>
      <c r="I67" s="199">
        <f>IF(ISERROR(I55-I65),1,0)</f>
        <v>0</v>
      </c>
      <c r="J67" s="199">
        <f t="shared" ref="J67:Q67" si="20">IF(ISERROR(J55-J65),1,0)</f>
        <v>0</v>
      </c>
      <c r="K67" s="199">
        <f t="shared" si="20"/>
        <v>0</v>
      </c>
      <c r="L67" s="199">
        <f t="shared" si="20"/>
        <v>0</v>
      </c>
      <c r="M67" s="199">
        <f t="shared" si="20"/>
        <v>0</v>
      </c>
      <c r="N67" s="199">
        <f t="shared" si="20"/>
        <v>0</v>
      </c>
      <c r="O67" s="199">
        <f t="shared" si="20"/>
        <v>0</v>
      </c>
      <c r="P67" s="199">
        <f t="shared" si="20"/>
        <v>0</v>
      </c>
      <c r="Q67" s="199">
        <f t="shared" si="20"/>
        <v>0</v>
      </c>
    </row>
    <row r="68" spans="3:17" s="204" customFormat="1" hidden="1" outlineLevel="2">
      <c r="D68" s="65" t="s">
        <v>528</v>
      </c>
      <c r="I68" s="200">
        <f>IF(I67&lt;&gt;0,0,(ROUND(I55-I65,5)&lt;&gt;0)*1)</f>
        <v>0</v>
      </c>
      <c r="J68" s="200">
        <f t="shared" ref="J68:Q68" si="21">IF(J67&lt;&gt;0,0,(ROUND(J55-J65,5)&lt;&gt;0)*1)</f>
        <v>0</v>
      </c>
      <c r="K68" s="200">
        <f t="shared" si="21"/>
        <v>0</v>
      </c>
      <c r="L68" s="200">
        <f t="shared" si="21"/>
        <v>0</v>
      </c>
      <c r="M68" s="200">
        <f t="shared" si="21"/>
        <v>0</v>
      </c>
      <c r="N68" s="200">
        <f t="shared" si="21"/>
        <v>0</v>
      </c>
      <c r="O68" s="200">
        <f t="shared" si="21"/>
        <v>0</v>
      </c>
      <c r="P68" s="200">
        <f t="shared" si="21"/>
        <v>0</v>
      </c>
      <c r="Q68" s="200">
        <f t="shared" si="21"/>
        <v>0</v>
      </c>
    </row>
    <row r="69" spans="3:17" s="204" customFormat="1" collapsed="1">
      <c r="C69" s="65" t="s">
        <v>414</v>
      </c>
      <c r="H69" s="195">
        <f>IF(ISERROR(SUM(I69:Q69)),0,MIN(SUM(I69:Q69),1))</f>
        <v>0</v>
      </c>
      <c r="I69" s="196">
        <f t="shared" ref="I69:Q69" si="22">MIN(SUM(I67:I68),1)</f>
        <v>0</v>
      </c>
      <c r="J69" s="196">
        <f t="shared" si="22"/>
        <v>0</v>
      </c>
      <c r="K69" s="196">
        <f t="shared" si="22"/>
        <v>0</v>
      </c>
      <c r="L69" s="196">
        <f t="shared" si="22"/>
        <v>0</v>
      </c>
      <c r="M69" s="196">
        <f t="shared" si="22"/>
        <v>0</v>
      </c>
      <c r="N69" s="196">
        <f t="shared" si="22"/>
        <v>0</v>
      </c>
      <c r="O69" s="196">
        <f t="shared" si="22"/>
        <v>0</v>
      </c>
      <c r="P69" s="196">
        <f t="shared" si="22"/>
        <v>0</v>
      </c>
      <c r="Q69" s="196">
        <f t="shared" si="22"/>
        <v>0</v>
      </c>
    </row>
    <row r="70" spans="3:17" hidden="1" outlineLevel="2">
      <c r="J70" s="229"/>
      <c r="K70" s="229"/>
      <c r="L70" s="229"/>
      <c r="M70" s="229"/>
      <c r="N70" s="229"/>
      <c r="O70" s="229"/>
      <c r="P70" s="229"/>
      <c r="Q70" s="229"/>
    </row>
    <row r="71" spans="3:17" hidden="1" outlineLevel="2">
      <c r="D71" s="65" t="s">
        <v>527</v>
      </c>
      <c r="I71" s="246">
        <f>IF(I$12=0,0,IF(ISERROR(I22),1,IF(ROUND(I22,5)&lt;0,1,0)))</f>
        <v>0</v>
      </c>
      <c r="J71" s="246">
        <f>IF(J$12=0,0,IF(ISERROR(J22),1,IF(ROUND(J22,5)&lt;0,1,0)))</f>
        <v>0</v>
      </c>
      <c r="K71" s="246">
        <f t="shared" ref="K71:Q71" si="23">IF(K$12=0,0,IF(ISERROR(K22),1,IF(ROUND(K22,5)&lt;0,1,0)))</f>
        <v>0</v>
      </c>
      <c r="L71" s="246">
        <f t="shared" si="23"/>
        <v>0</v>
      </c>
      <c r="M71" s="246">
        <f t="shared" si="23"/>
        <v>0</v>
      </c>
      <c r="N71" s="246">
        <f t="shared" si="23"/>
        <v>0</v>
      </c>
      <c r="O71" s="246">
        <f t="shared" si="23"/>
        <v>0</v>
      </c>
      <c r="P71" s="246">
        <f t="shared" si="23"/>
        <v>0</v>
      </c>
      <c r="Q71" s="246">
        <f t="shared" si="23"/>
        <v>0</v>
      </c>
    </row>
    <row r="72" spans="3:17" hidden="1" outlineLevel="2">
      <c r="D72" s="65" t="s">
        <v>528</v>
      </c>
      <c r="I72" s="200">
        <f>IF(OR(ISBLANK(I$12),I$12&lt;&gt;0),IF(ISERROR(I62),1,IF(ROUND(I62,5)&lt;&gt;0,1,0)),0)</f>
        <v>0</v>
      </c>
      <c r="J72" s="200">
        <f t="shared" ref="J72:Q72" si="24">IF(OR(ISBLANK(J$12),J$12&lt;&gt;0),IF(ISERROR(J62),1,IF(ROUND(J62,5)&lt;&gt;0,1,0)),0)</f>
        <v>0</v>
      </c>
      <c r="K72" s="200">
        <f t="shared" si="24"/>
        <v>0</v>
      </c>
      <c r="L72" s="200">
        <f t="shared" si="24"/>
        <v>0</v>
      </c>
      <c r="M72" s="200">
        <f t="shared" si="24"/>
        <v>0</v>
      </c>
      <c r="N72" s="200">
        <f t="shared" si="24"/>
        <v>0</v>
      </c>
      <c r="O72" s="200">
        <f t="shared" si="24"/>
        <v>0</v>
      </c>
      <c r="P72" s="200">
        <f t="shared" si="24"/>
        <v>0</v>
      </c>
      <c r="Q72" s="200">
        <f t="shared" si="24"/>
        <v>0</v>
      </c>
    </row>
    <row r="73" spans="3:17" collapsed="1">
      <c r="C73" s="65" t="s">
        <v>529</v>
      </c>
      <c r="H73" s="195">
        <f>IF(ISERROR(SUM(I73:Q73)),0,MIN(SUM(I73:Q73),1))</f>
        <v>0</v>
      </c>
      <c r="I73" s="196">
        <f t="shared" ref="I73:Q73" si="25">MIN(SUM(I71:I72),1)</f>
        <v>0</v>
      </c>
      <c r="J73" s="196">
        <f t="shared" si="25"/>
        <v>0</v>
      </c>
      <c r="K73" s="196">
        <f t="shared" si="25"/>
        <v>0</v>
      </c>
      <c r="L73" s="196">
        <f t="shared" si="25"/>
        <v>0</v>
      </c>
      <c r="M73" s="196">
        <f t="shared" si="25"/>
        <v>0</v>
      </c>
      <c r="N73" s="196">
        <f t="shared" si="25"/>
        <v>0</v>
      </c>
      <c r="O73" s="196">
        <f t="shared" si="25"/>
        <v>0</v>
      </c>
      <c r="P73" s="196">
        <f t="shared" si="25"/>
        <v>0</v>
      </c>
      <c r="Q73" s="196">
        <f t="shared" si="25"/>
        <v>0</v>
      </c>
    </row>
    <row r="75" spans="3:17">
      <c r="C75" s="62" t="s">
        <v>203</v>
      </c>
      <c r="D75" s="187"/>
    </row>
    <row r="76" spans="3:17">
      <c r="C76" s="81">
        <v>1</v>
      </c>
      <c r="D76" s="130" t="str">
        <f>"All assumptions are entered in "&amp;INDEX(LU_Denom,DD_TS_Denom)&amp;"."</f>
        <v>All assumptions are entered in $Millions.</v>
      </c>
    </row>
  </sheetData>
  <mergeCells count="1">
    <mergeCell ref="B3:F3"/>
  </mergeCells>
  <conditionalFormatting sqref="C73">
    <cfRule type="expression" dxfId="72" priority="13" stopIfTrue="1">
      <formula>H73&lt;&gt;0</formula>
    </cfRule>
  </conditionalFormatting>
  <conditionalFormatting sqref="C69">
    <cfRule type="expression" dxfId="71" priority="2" stopIfTrue="1">
      <formula>H69&lt;&gt;0</formula>
    </cfRule>
  </conditionalFormatting>
  <conditionalFormatting sqref="I67:Q69 I71:Q73">
    <cfRule type="cellIs" dxfId="70" priority="16" stopIfTrue="1" operator="notEqual">
      <formula>0</formula>
    </cfRule>
  </conditionalFormatting>
  <conditionalFormatting sqref="I20:Q65">
    <cfRule type="expression" dxfId="69"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583</v>
      </c>
    </row>
    <row r="2" spans="1:17" ht="15">
      <c r="B2" s="41" t="str">
        <f ca="1">Model_Name</f>
        <v>SMA 7. Outputs &amp; Presentations - Practical Exercise (Solution)</v>
      </c>
    </row>
    <row r="3" spans="1:17">
      <c r="B3" s="304" t="s">
        <v>48</v>
      </c>
      <c r="C3" s="304"/>
      <c r="D3" s="304"/>
      <c r="E3" s="304"/>
      <c r="F3" s="304"/>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45</v>
      </c>
    </row>
    <row r="18" spans="3:17" ht="11.25">
      <c r="C18" s="61" t="s">
        <v>15</v>
      </c>
    </row>
    <row r="20" spans="3:17">
      <c r="E20" s="65" t="s">
        <v>224</v>
      </c>
      <c r="J20" s="114">
        <v>125</v>
      </c>
      <c r="K20" s="114">
        <v>128.125</v>
      </c>
      <c r="L20" s="114">
        <v>131.328125</v>
      </c>
      <c r="M20" s="114">
        <v>134.611328125</v>
      </c>
      <c r="N20" s="114">
        <v>137.97661132812499</v>
      </c>
      <c r="O20" s="114">
        <v>141.4260266113281</v>
      </c>
      <c r="P20" s="114">
        <v>144.96167727661128</v>
      </c>
      <c r="Q20" s="114">
        <v>148.58571920852654</v>
      </c>
    </row>
    <row r="21" spans="3:17">
      <c r="E21" s="65" t="s">
        <v>420</v>
      </c>
      <c r="J21" s="197">
        <v>10.726027397260282</v>
      </c>
      <c r="K21" s="197">
        <v>-0.25684931506850717</v>
      </c>
      <c r="L21" s="197">
        <v>-0.23377849202785228</v>
      </c>
      <c r="M21" s="197">
        <v>-0.29934436756118998</v>
      </c>
      <c r="N21" s="197">
        <v>-0.27659861943493524</v>
      </c>
      <c r="O21" s="197">
        <v>-0.28351358492079726</v>
      </c>
      <c r="P21" s="197">
        <v>-0.25804771305121221</v>
      </c>
      <c r="Q21" s="197">
        <v>-0.3304201716500188</v>
      </c>
    </row>
    <row r="22" spans="3:17">
      <c r="D22" s="65" t="s">
        <v>238</v>
      </c>
      <c r="J22" s="201">
        <f>J20+J21</f>
        <v>135.72602739726028</v>
      </c>
      <c r="K22" s="201">
        <f t="shared" ref="K22:Q22" si="8">K20+K21</f>
        <v>127.86815068493149</v>
      </c>
      <c r="L22" s="201">
        <f t="shared" si="8"/>
        <v>131.09434650797215</v>
      </c>
      <c r="M22" s="201">
        <f t="shared" si="8"/>
        <v>134.31198375743881</v>
      </c>
      <c r="N22" s="201">
        <f t="shared" si="8"/>
        <v>137.70001270869005</v>
      </c>
      <c r="O22" s="201">
        <f t="shared" si="8"/>
        <v>141.1425130264073</v>
      </c>
      <c r="P22" s="201">
        <f t="shared" si="8"/>
        <v>144.70362956356007</v>
      </c>
      <c r="Q22" s="201">
        <f t="shared" si="8"/>
        <v>148.25529903687652</v>
      </c>
    </row>
    <row r="23" spans="3:17">
      <c r="D23" s="191"/>
      <c r="E23" s="65" t="s">
        <v>462</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c r="D24" s="191"/>
      <c r="E24" s="65" t="s">
        <v>236</v>
      </c>
      <c r="J24" s="114">
        <v>-40</v>
      </c>
      <c r="K24" s="114">
        <v>-41</v>
      </c>
      <c r="L24" s="114">
        <v>-42.024999999999999</v>
      </c>
      <c r="M24" s="114">
        <v>-43.075624999999995</v>
      </c>
      <c r="N24" s="114">
        <v>-44.152515624999992</v>
      </c>
      <c r="O24" s="114">
        <v>-45.256328515624986</v>
      </c>
      <c r="P24" s="114">
        <v>-46.387736728515605</v>
      </c>
      <c r="Q24" s="114">
        <v>-47.547430146728495</v>
      </c>
    </row>
    <row r="25" spans="3:17">
      <c r="D25" s="191"/>
      <c r="E25" s="65" t="s">
        <v>421</v>
      </c>
      <c r="J25" s="197">
        <v>-7.9863013698630141</v>
      </c>
      <c r="K25" s="197">
        <v>0.20034246575342252</v>
      </c>
      <c r="L25" s="197">
        <v>0.18234722378171853</v>
      </c>
      <c r="M25" s="197">
        <v>0.2334886066977333</v>
      </c>
      <c r="N25" s="197">
        <v>0.21574692315924437</v>
      </c>
      <c r="O25" s="197">
        <v>0.22114059623822868</v>
      </c>
      <c r="P25" s="197">
        <v>0.20127721617994609</v>
      </c>
      <c r="Q25" s="197">
        <v>0.25772773388702319</v>
      </c>
    </row>
    <row r="26" spans="3:17">
      <c r="D26" s="65" t="s">
        <v>243</v>
      </c>
      <c r="J26" s="201">
        <f>SUM(J23:J25)</f>
        <v>-72.986301369863014</v>
      </c>
      <c r="K26" s="201">
        <f t="shared" ref="K26:Q26" si="9">SUM(K23:K25)</f>
        <v>-66.424657534246577</v>
      </c>
      <c r="L26" s="201">
        <f t="shared" si="9"/>
        <v>-68.108277776218273</v>
      </c>
      <c r="M26" s="201">
        <f t="shared" si="9"/>
        <v>-69.764402018302249</v>
      </c>
      <c r="N26" s="201">
        <f t="shared" si="9"/>
        <v>-71.532090967465734</v>
      </c>
      <c r="O26" s="201">
        <f t="shared" si="9"/>
        <v>-73.320393241652368</v>
      </c>
      <c r="P26" s="201">
        <f t="shared" si="9"/>
        <v>-75.178794967657907</v>
      </c>
      <c r="Q26" s="201">
        <f t="shared" si="9"/>
        <v>-77.006846254546772</v>
      </c>
    </row>
    <row r="27" spans="3:17">
      <c r="D27" s="65" t="s">
        <v>257</v>
      </c>
      <c r="J27" s="114">
        <v>-3.25</v>
      </c>
      <c r="K27" s="114">
        <v>-3.25</v>
      </c>
      <c r="L27" s="114">
        <v>-3.25</v>
      </c>
      <c r="M27" s="114">
        <v>-3.25</v>
      </c>
      <c r="N27" s="114">
        <v>-3.4125000000000001</v>
      </c>
      <c r="O27" s="114">
        <v>-3.5750000000000002</v>
      </c>
      <c r="P27" s="114">
        <v>-3.5750000000000002</v>
      </c>
      <c r="Q27" s="114">
        <v>-3.5750000000000002</v>
      </c>
    </row>
    <row r="28" spans="3:17">
      <c r="D28" s="65" t="s">
        <v>476</v>
      </c>
      <c r="J28" s="114">
        <v>-3.5</v>
      </c>
      <c r="K28" s="114">
        <v>-12.7875</v>
      </c>
      <c r="L28" s="114">
        <v>-13.131562499999999</v>
      </c>
      <c r="M28" s="114">
        <v>-13.4842265625</v>
      </c>
      <c r="N28" s="114">
        <v>-13.845707226562503</v>
      </c>
      <c r="O28" s="114">
        <v>-14.167474907226566</v>
      </c>
      <c r="P28" s="114">
        <v>-14.498505529907227</v>
      </c>
      <c r="Q28" s="114">
        <v>-14.887780668154907</v>
      </c>
    </row>
    <row r="29" spans="3:17">
      <c r="D29" s="65" t="s">
        <v>492</v>
      </c>
      <c r="J29" s="114">
        <v>-1</v>
      </c>
      <c r="K29" s="114">
        <v>-1</v>
      </c>
      <c r="L29" s="114">
        <v>-1</v>
      </c>
      <c r="M29" s="114">
        <v>-1</v>
      </c>
      <c r="N29" s="114">
        <v>-1</v>
      </c>
      <c r="O29" s="114">
        <v>-1</v>
      </c>
      <c r="P29" s="114">
        <v>-1</v>
      </c>
      <c r="Q29" s="114">
        <v>-1</v>
      </c>
    </row>
    <row r="30" spans="3:17">
      <c r="D30" s="65" t="s">
        <v>493</v>
      </c>
      <c r="J30" s="114">
        <v>1</v>
      </c>
      <c r="K30" s="114">
        <v>1</v>
      </c>
      <c r="L30" s="114">
        <v>1</v>
      </c>
      <c r="M30" s="114">
        <v>1</v>
      </c>
      <c r="N30" s="114">
        <v>1</v>
      </c>
      <c r="O30" s="114">
        <v>1</v>
      </c>
      <c r="P30" s="114">
        <v>1</v>
      </c>
      <c r="Q30" s="114">
        <v>1</v>
      </c>
    </row>
    <row r="31" spans="3:17">
      <c r="D31" s="134" t="str">
        <f>"Net "&amp;C18</f>
        <v>Net Cash Flow from Operating Activities</v>
      </c>
      <c r="J31" s="192">
        <f>J22+J26+SUM(J27:J30)</f>
        <v>55.989726027397268</v>
      </c>
      <c r="K31" s="192">
        <f t="shared" ref="K31:Q31" si="10">K22+K26+SUM(K27:K30)</f>
        <v>45.405993150684914</v>
      </c>
      <c r="L31" s="192">
        <f t="shared" si="10"/>
        <v>46.604506231753874</v>
      </c>
      <c r="M31" s="192">
        <f t="shared" si="10"/>
        <v>47.813355176636563</v>
      </c>
      <c r="N31" s="192">
        <f t="shared" si="10"/>
        <v>48.909714514661815</v>
      </c>
      <c r="O31" s="192">
        <f t="shared" si="10"/>
        <v>50.079644877528366</v>
      </c>
      <c r="P31" s="192">
        <f t="shared" si="10"/>
        <v>51.45132906599494</v>
      </c>
      <c r="Q31" s="192">
        <f t="shared" si="10"/>
        <v>52.785672114174844</v>
      </c>
    </row>
    <row r="32" spans="3:17">
      <c r="J32" s="82"/>
      <c r="K32" s="82"/>
      <c r="L32" s="82"/>
      <c r="M32" s="82"/>
      <c r="N32" s="82"/>
      <c r="O32" s="82"/>
      <c r="P32" s="82"/>
      <c r="Q32" s="82"/>
    </row>
    <row r="33" spans="3:17" ht="11.25">
      <c r="C33" s="61" t="s">
        <v>16</v>
      </c>
      <c r="J33" s="82"/>
      <c r="K33" s="82"/>
      <c r="L33" s="82"/>
      <c r="M33" s="82"/>
      <c r="N33" s="82"/>
      <c r="O33" s="82"/>
      <c r="P33" s="82"/>
      <c r="Q33" s="82"/>
    </row>
    <row r="34" spans="3:17">
      <c r="J34" s="82"/>
      <c r="K34" s="82"/>
      <c r="L34" s="82"/>
      <c r="M34" s="82"/>
      <c r="N34" s="82"/>
      <c r="O34" s="82"/>
      <c r="P34" s="82"/>
      <c r="Q34" s="82"/>
    </row>
    <row r="35" spans="3:17">
      <c r="D35" s="65" t="s">
        <v>466</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c r="D36" s="65" t="s">
        <v>467</v>
      </c>
      <c r="J36" s="114">
        <v>-2.5</v>
      </c>
      <c r="K36" s="114">
        <v>-2.5625</v>
      </c>
      <c r="L36" s="114">
        <v>-2.6265624999999999</v>
      </c>
      <c r="M36" s="114">
        <v>-2.6922265624999997</v>
      </c>
      <c r="N36" s="114">
        <v>-2.7595322265624995</v>
      </c>
      <c r="O36" s="114">
        <v>-2.8285205322265616</v>
      </c>
      <c r="P36" s="114">
        <v>-2.8992335455322253</v>
      </c>
      <c r="Q36" s="114">
        <v>-2.9717143841705309</v>
      </c>
    </row>
    <row r="37" spans="3:17">
      <c r="D37" s="65" t="s">
        <v>494</v>
      </c>
      <c r="J37" s="114">
        <v>-1</v>
      </c>
      <c r="K37" s="114">
        <v>-1</v>
      </c>
      <c r="L37" s="114">
        <v>-1</v>
      </c>
      <c r="M37" s="114">
        <v>-1</v>
      </c>
      <c r="N37" s="114">
        <v>-1</v>
      </c>
      <c r="O37" s="114">
        <v>-1</v>
      </c>
      <c r="P37" s="114">
        <v>-1</v>
      </c>
      <c r="Q37" s="114">
        <v>-1</v>
      </c>
    </row>
    <row r="38" spans="3:17">
      <c r="D38" s="65" t="s">
        <v>495</v>
      </c>
      <c r="J38" s="114">
        <v>1</v>
      </c>
      <c r="K38" s="114">
        <v>1</v>
      </c>
      <c r="L38" s="114">
        <v>1</v>
      </c>
      <c r="M38" s="114">
        <v>1</v>
      </c>
      <c r="N38" s="114">
        <v>1</v>
      </c>
      <c r="O38" s="114">
        <v>1</v>
      </c>
      <c r="P38" s="114">
        <v>1</v>
      </c>
      <c r="Q38" s="114">
        <v>1</v>
      </c>
    </row>
    <row r="39" spans="3:17">
      <c r="D39" s="134" t="str">
        <f>"Net "&amp;C33</f>
        <v>Net Cash Flow from Investing Activities</v>
      </c>
      <c r="J39" s="192">
        <f>SUM(J35:J38)</f>
        <v>-17.5</v>
      </c>
      <c r="K39" s="192">
        <f t="shared" ref="K39:Q39" si="11">SUM(K35:K38)</f>
        <v>-17.9375</v>
      </c>
      <c r="L39" s="192">
        <f t="shared" si="11"/>
        <v>-18.385937499999997</v>
      </c>
      <c r="M39" s="192">
        <f t="shared" si="11"/>
        <v>-18.845585937499994</v>
      </c>
      <c r="N39" s="192">
        <f t="shared" si="11"/>
        <v>-19.31672558593749</v>
      </c>
      <c r="O39" s="192">
        <f t="shared" si="11"/>
        <v>-19.799643725585927</v>
      </c>
      <c r="P39" s="192">
        <f t="shared" si="11"/>
        <v>-20.294634818725573</v>
      </c>
      <c r="Q39" s="192">
        <f t="shared" si="11"/>
        <v>-20.802000689193711</v>
      </c>
    </row>
    <row r="40" spans="3:17">
      <c r="J40" s="82"/>
      <c r="K40" s="82"/>
      <c r="L40" s="82"/>
      <c r="M40" s="82"/>
      <c r="N40" s="82"/>
      <c r="O40" s="82"/>
      <c r="P40" s="82"/>
      <c r="Q40" s="82"/>
    </row>
    <row r="41" spans="3:17" ht="11.25">
      <c r="C41" s="61" t="s">
        <v>17</v>
      </c>
      <c r="J41" s="82"/>
      <c r="K41" s="82"/>
      <c r="L41" s="82"/>
      <c r="M41" s="82"/>
      <c r="N41" s="82"/>
      <c r="O41" s="82"/>
      <c r="P41" s="82"/>
      <c r="Q41" s="82"/>
    </row>
    <row r="42" spans="3:17">
      <c r="J42" s="82"/>
      <c r="K42" s="82"/>
      <c r="L42" s="82"/>
      <c r="M42" s="82"/>
      <c r="N42" s="82"/>
      <c r="O42" s="82"/>
      <c r="P42" s="82"/>
      <c r="Q42" s="82"/>
    </row>
    <row r="43" spans="3:17">
      <c r="D43" s="65" t="s">
        <v>246</v>
      </c>
      <c r="J43" s="114">
        <v>0</v>
      </c>
      <c r="K43" s="114">
        <v>0</v>
      </c>
      <c r="L43" s="114">
        <v>0</v>
      </c>
      <c r="M43" s="114">
        <v>0</v>
      </c>
      <c r="N43" s="114">
        <v>50</v>
      </c>
      <c r="O43" s="114">
        <v>0</v>
      </c>
      <c r="P43" s="114">
        <v>0</v>
      </c>
      <c r="Q43" s="114">
        <v>0</v>
      </c>
    </row>
    <row r="44" spans="3:17">
      <c r="D44" s="65" t="s">
        <v>247</v>
      </c>
      <c r="J44" s="114">
        <v>0</v>
      </c>
      <c r="K44" s="114">
        <v>0</v>
      </c>
      <c r="L44" s="114">
        <v>0</v>
      </c>
      <c r="M44" s="114">
        <v>0</v>
      </c>
      <c r="N44" s="114">
        <v>-45</v>
      </c>
      <c r="O44" s="114">
        <v>0</v>
      </c>
      <c r="P44" s="114">
        <v>0</v>
      </c>
      <c r="Q44" s="114">
        <v>0</v>
      </c>
    </row>
    <row r="45" spans="3:17">
      <c r="D45" s="65" t="s">
        <v>264</v>
      </c>
      <c r="J45" s="114">
        <v>0</v>
      </c>
      <c r="K45" s="114">
        <v>0</v>
      </c>
      <c r="L45" s="114">
        <v>0</v>
      </c>
      <c r="M45" s="114">
        <v>0</v>
      </c>
      <c r="N45" s="114">
        <v>0</v>
      </c>
      <c r="O45" s="114">
        <v>0</v>
      </c>
      <c r="P45" s="114">
        <v>0</v>
      </c>
      <c r="Q45" s="114">
        <v>0</v>
      </c>
    </row>
    <row r="46" spans="3:17">
      <c r="D46" s="65" t="s">
        <v>265</v>
      </c>
      <c r="J46" s="114">
        <v>0</v>
      </c>
      <c r="K46" s="114">
        <v>0</v>
      </c>
      <c r="L46" s="114">
        <v>0</v>
      </c>
      <c r="M46" s="114">
        <v>0</v>
      </c>
      <c r="N46" s="114">
        <v>0</v>
      </c>
      <c r="O46" s="114">
        <v>0</v>
      </c>
      <c r="P46" s="114">
        <v>0</v>
      </c>
      <c r="Q46" s="114">
        <v>0</v>
      </c>
    </row>
    <row r="47" spans="3:17">
      <c r="D47" s="65" t="s">
        <v>273</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4" customFormat="1">
      <c r="D48" s="65" t="s">
        <v>558</v>
      </c>
      <c r="J48" s="114">
        <v>0.1</v>
      </c>
      <c r="K48" s="114">
        <v>0.1</v>
      </c>
      <c r="L48" s="114">
        <v>0.1</v>
      </c>
      <c r="M48" s="114">
        <v>0.1</v>
      </c>
      <c r="N48" s="114">
        <v>0.1</v>
      </c>
      <c r="O48" s="114">
        <v>0.1</v>
      </c>
      <c r="P48" s="114">
        <v>0.1</v>
      </c>
      <c r="Q48" s="114">
        <v>0.1</v>
      </c>
    </row>
    <row r="49" spans="3:17">
      <c r="D49" s="134" t="str">
        <f>"Net "&amp;C41</f>
        <v>Net Cash Flow from Financing Activities</v>
      </c>
      <c r="J49" s="192">
        <f>SUM(J43:J48)</f>
        <v>-14.81875</v>
      </c>
      <c r="K49" s="192">
        <f t="shared" ref="K49:Q49" si="12">SUM(K43:K48)</f>
        <v>-15.22015625</v>
      </c>
      <c r="L49" s="192">
        <f t="shared" si="12"/>
        <v>-15.631597656250003</v>
      </c>
      <c r="M49" s="192">
        <f t="shared" si="12"/>
        <v>-16.053325097656252</v>
      </c>
      <c r="N49" s="192">
        <f t="shared" si="12"/>
        <v>-11.428720725097664</v>
      </c>
      <c r="O49" s="192">
        <f t="shared" si="12"/>
        <v>-16.814923118225099</v>
      </c>
      <c r="P49" s="192">
        <f t="shared" si="12"/>
        <v>-17.269077446180724</v>
      </c>
      <c r="Q49" s="192">
        <f t="shared" si="12"/>
        <v>-17.734585632335236</v>
      </c>
    </row>
    <row r="50" spans="3:17">
      <c r="J50" s="82"/>
      <c r="K50" s="82"/>
      <c r="L50" s="82"/>
      <c r="M50" s="82"/>
      <c r="N50" s="82"/>
      <c r="O50" s="82"/>
      <c r="P50" s="82"/>
      <c r="Q50" s="82"/>
    </row>
    <row r="51" spans="3:17" ht="12" thickBot="1">
      <c r="C51" s="61" t="s">
        <v>18</v>
      </c>
      <c r="J51" s="194">
        <f t="shared" ref="J51:Q51" si="13">J31+J39+J49</f>
        <v>23.670976027397266</v>
      </c>
      <c r="K51" s="194">
        <f t="shared" si="13"/>
        <v>12.248336900684913</v>
      </c>
      <c r="L51" s="194">
        <f t="shared" si="13"/>
        <v>12.586971075503874</v>
      </c>
      <c r="M51" s="194">
        <f t="shared" si="13"/>
        <v>12.914444141480317</v>
      </c>
      <c r="N51" s="194">
        <f t="shared" si="13"/>
        <v>18.164268203626662</v>
      </c>
      <c r="O51" s="194">
        <f t="shared" si="13"/>
        <v>13.46507803371734</v>
      </c>
      <c r="P51" s="194">
        <f t="shared" si="13"/>
        <v>13.887616801088644</v>
      </c>
      <c r="Q51" s="194">
        <f t="shared" si="13"/>
        <v>14.249085792645896</v>
      </c>
    </row>
    <row r="52" spans="3:17" ht="11.25" thickTop="1"/>
    <row r="53" spans="3:17">
      <c r="C53" s="62" t="s">
        <v>203</v>
      </c>
      <c r="D53" s="187"/>
    </row>
    <row r="54" spans="3:17">
      <c r="C54" s="81">
        <v>1</v>
      </c>
      <c r="D54" s="130" t="str">
        <f>"All assumptions are entered in "&amp;INDEX(LU_Denom,DD_TS_Denom)&amp;"."</f>
        <v>All assumptions are entered in $Millions.</v>
      </c>
    </row>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500</v>
      </c>
    </row>
    <row r="10" spans="3:7" ht="16.5">
      <c r="C10" s="27" t="s">
        <v>522</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177" t="s">
        <v>501</v>
      </c>
    </row>
    <row r="19" spans="3:3">
      <c r="C19" s="177"/>
    </row>
    <row r="20" spans="3:3">
      <c r="C20" s="177"/>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9" width="12.83203125" style="181"/>
    <col min="10" max="12" width="12.83203125" style="181" customWidth="1"/>
    <col min="13" max="16384" width="12.83203125" style="181"/>
  </cols>
  <sheetData>
    <row r="1" spans="1:17" ht="18">
      <c r="B1" s="42" t="s">
        <v>500</v>
      </c>
    </row>
    <row r="2" spans="1:17" ht="15">
      <c r="B2" s="41" t="str">
        <f ca="1">Model_Name</f>
        <v>SMA 7. Outputs &amp; Presentations - Practical Exercise (Solution)</v>
      </c>
    </row>
    <row r="3" spans="1:17">
      <c r="B3" s="304" t="s">
        <v>48</v>
      </c>
      <c r="C3" s="304"/>
      <c r="D3" s="304"/>
      <c r="E3" s="304"/>
      <c r="F3" s="304"/>
    </row>
    <row r="4" spans="1:17" ht="12.75">
      <c r="A4" s="43" t="s">
        <v>51</v>
      </c>
      <c r="B4" s="44" t="s">
        <v>53</v>
      </c>
      <c r="C4" s="45" t="s">
        <v>102</v>
      </c>
      <c r="D4" s="79" t="s">
        <v>205</v>
      </c>
      <c r="E4" s="79" t="s">
        <v>206</v>
      </c>
      <c r="F4" s="46" t="s">
        <v>207</v>
      </c>
    </row>
    <row r="6" spans="1:17" s="204" customFormat="1">
      <c r="B6" s="54" t="str">
        <f>IF(TS_Data_Final_Stub,"Period End Date",IF(TS_Pers_In_Yr=1,"",TS_Per_Type_Name&amp;" Ending"))</f>
        <v/>
      </c>
      <c r="J6" s="188" t="str">
        <f t="shared" ref="J6:Q6" si="0">IF(J12=0,IF(TS_Data_Final_Stub,"- ",IF(TS_Pers_In_Yr=1,"",0)),IF(TS_Data_Final_Stub,J9,IF(TS_Pers_In_Yr=1,"",LEFT(INDEX(LU_Mth_Names,MONTH(J9)),3)&amp;"-"&amp;RIGHT(YEAR(J9),2))&amp;" "))</f>
        <v/>
      </c>
      <c r="K6" s="188" t="str">
        <f t="shared" si="0"/>
        <v/>
      </c>
      <c r="L6" s="188" t="str">
        <f t="shared" si="0"/>
        <v/>
      </c>
      <c r="M6" s="188" t="str">
        <f t="shared" si="0"/>
        <v xml:space="preserve"> </v>
      </c>
      <c r="N6" s="188" t="str">
        <f t="shared" si="0"/>
        <v xml:space="preserve"> </v>
      </c>
      <c r="O6" s="188" t="str">
        <f t="shared" si="0"/>
        <v xml:space="preserve"> </v>
      </c>
      <c r="P6" s="188" t="str">
        <f t="shared" si="0"/>
        <v xml:space="preserve"> </v>
      </c>
      <c r="Q6" s="188" t="str">
        <f t="shared" si="0"/>
        <v xml:space="preserve"> </v>
      </c>
    </row>
    <row r="7" spans="1:17" s="204" customFormat="1">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4" customFormat="1" hidden="1" outlineLevel="2">
      <c r="B8" s="49" t="s">
        <v>221</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4" customFormat="1" hidden="1" outlineLevel="2">
      <c r="B9" s="49" t="s">
        <v>222</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4" customFormat="1" hidden="1" outlineLevel="2">
      <c r="B10" s="49" t="s">
        <v>219</v>
      </c>
      <c r="J10" s="189">
        <f t="shared" ref="J10:Q10" si="4">IF(J12=0,0,YEAR(TS_Proj_Per_1_FY_End_Date)+INT((TS_Proj_Per_1_Number+J12-TS_Data_Full_Pers-2)/TS_Pers_In_Yr))</f>
        <v>0</v>
      </c>
      <c r="K10" s="189">
        <f t="shared" si="4"/>
        <v>0</v>
      </c>
      <c r="L10" s="189">
        <f t="shared" si="4"/>
        <v>0</v>
      </c>
      <c r="M10" s="189">
        <f t="shared" si="4"/>
        <v>2013</v>
      </c>
      <c r="N10" s="189">
        <f t="shared" si="4"/>
        <v>2014</v>
      </c>
      <c r="O10" s="189">
        <f t="shared" si="4"/>
        <v>2015</v>
      </c>
      <c r="P10" s="189">
        <f t="shared" si="4"/>
        <v>2016</v>
      </c>
      <c r="Q10" s="189">
        <f t="shared" si="4"/>
        <v>2017</v>
      </c>
    </row>
    <row r="11" spans="1:17" s="204" customFormat="1" hidden="1" outlineLevel="2">
      <c r="B11" s="49" t="s">
        <v>220</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4" customFormat="1" hidden="1" outlineLevel="2">
      <c r="B12" s="49" t="s">
        <v>223</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4" customFormat="1" hidden="1" outlineLevel="2">
      <c r="B13" s="60" t="s">
        <v>387</v>
      </c>
      <c r="C13" s="22"/>
      <c r="D13" s="22"/>
      <c r="E13" s="22"/>
      <c r="F13" s="22"/>
      <c r="G13" s="22"/>
      <c r="H13" s="22"/>
      <c r="I13" s="22"/>
      <c r="J13" s="190" t="str">
        <f>IF(J12=0,"- ",J10&amp;"-"&amp;J11)</f>
        <v xml:space="preserve">- </v>
      </c>
      <c r="K13" s="190" t="str">
        <f t="shared" ref="K13:Q13" si="7">IF(K12=0,"- ",K10&amp;"-"&amp;K11)</f>
        <v xml:space="preserve">- </v>
      </c>
      <c r="L13" s="190" t="str">
        <f t="shared" si="7"/>
        <v xml:space="preserve">- </v>
      </c>
      <c r="M13" s="190" t="str">
        <f t="shared" si="7"/>
        <v xml:space="preserve">2013-Year </v>
      </c>
      <c r="N13" s="190" t="str">
        <f t="shared" si="7"/>
        <v xml:space="preserve">2014-Year </v>
      </c>
      <c r="O13" s="190" t="str">
        <f t="shared" si="7"/>
        <v xml:space="preserve">2015-Year </v>
      </c>
      <c r="P13" s="190" t="str">
        <f t="shared" si="7"/>
        <v xml:space="preserve">2016-Year </v>
      </c>
      <c r="Q13" s="190" t="str">
        <f t="shared" si="7"/>
        <v xml:space="preserve">2017-Year </v>
      </c>
    </row>
    <row r="14" spans="1:17" s="204" customFormat="1" collapsed="1"/>
    <row r="15" spans="1:17" s="20" customFormat="1"/>
    <row r="16" spans="1:17" s="18" customFormat="1" ht="12.75" customHeight="1">
      <c r="B16" s="113" t="s">
        <v>401</v>
      </c>
      <c r="J16" s="169"/>
    </row>
    <row r="17" spans="2:17" s="18" customFormat="1">
      <c r="I17" s="187"/>
      <c r="J17" s="187"/>
      <c r="K17" s="187"/>
      <c r="L17" s="187"/>
    </row>
    <row r="18" spans="2:17" s="169" customFormat="1">
      <c r="C18" s="191"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c r="C19" s="191"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c r="C20" s="191"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c r="C21" s="191"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c r="C22" s="191"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c r="K23" s="248"/>
      <c r="L23" s="248"/>
      <c r="M23" s="248"/>
      <c r="N23" s="248"/>
      <c r="O23" s="248"/>
      <c r="P23" s="248"/>
      <c r="Q23" s="248"/>
    </row>
    <row r="24" spans="2:17" s="18" customFormat="1">
      <c r="C24" s="62" t="s">
        <v>203</v>
      </c>
      <c r="K24" s="248"/>
      <c r="L24" s="248"/>
      <c r="M24" s="248"/>
      <c r="N24" s="248"/>
      <c r="O24" s="248"/>
      <c r="P24" s="248"/>
      <c r="Q24" s="248"/>
    </row>
    <row r="25" spans="2:17" s="187" customFormat="1">
      <c r="C25" s="81">
        <v>1</v>
      </c>
      <c r="D25" s="130" t="str">
        <f>"Revenue and expense assumptions are entered in "&amp;INDEX(LU_Denom,DD_TS_Denom)&amp;"."</f>
        <v>Revenue and expense assumptions are entered in $Millions.</v>
      </c>
      <c r="K25" s="248"/>
      <c r="L25" s="248"/>
      <c r="M25" s="248"/>
      <c r="N25" s="248"/>
      <c r="O25" s="248"/>
      <c r="P25" s="248"/>
      <c r="Q25" s="248"/>
    </row>
    <row r="26" spans="2:17" s="18" customFormat="1">
      <c r="C26" s="81">
        <v>2</v>
      </c>
      <c r="D26" s="65" t="s">
        <v>463</v>
      </c>
      <c r="K26" s="248"/>
      <c r="L26" s="248"/>
      <c r="M26" s="248"/>
      <c r="N26" s="248"/>
      <c r="O26" s="248"/>
      <c r="P26" s="248"/>
      <c r="Q26" s="248"/>
    </row>
    <row r="27" spans="2:17" s="18" customFormat="1">
      <c r="K27" s="248"/>
      <c r="L27" s="248"/>
      <c r="M27" s="248"/>
      <c r="N27" s="248"/>
      <c r="O27" s="248"/>
      <c r="P27" s="248"/>
      <c r="Q27" s="248"/>
    </row>
    <row r="28" spans="2:17" s="20" customFormat="1">
      <c r="K28" s="248"/>
      <c r="L28" s="248"/>
      <c r="M28" s="248"/>
      <c r="N28" s="248"/>
      <c r="O28" s="248"/>
      <c r="P28" s="248"/>
      <c r="Q28" s="248"/>
    </row>
    <row r="29" spans="2:17" s="20" customFormat="1" ht="12.75">
      <c r="B29" s="113" t="s">
        <v>402</v>
      </c>
      <c r="I29" s="204"/>
      <c r="K29" s="248"/>
      <c r="L29" s="248"/>
      <c r="M29" s="248"/>
      <c r="N29" s="248"/>
      <c r="O29" s="248"/>
      <c r="P29" s="248"/>
      <c r="Q29" s="248"/>
    </row>
    <row r="30" spans="2:17" s="204" customFormat="1">
      <c r="K30" s="248"/>
      <c r="L30" s="248"/>
      <c r="M30" s="248"/>
      <c r="N30" s="248"/>
      <c r="O30" s="248"/>
      <c r="P30" s="248"/>
      <c r="Q30" s="248"/>
    </row>
    <row r="31" spans="2:17" s="204" customFormat="1" ht="11.25">
      <c r="C31" s="234" t="str">
        <f>BS_Hist_TA!$D$23</f>
        <v>Accounts Receivable</v>
      </c>
      <c r="K31" s="248"/>
      <c r="L31" s="248"/>
      <c r="M31" s="248"/>
      <c r="N31" s="248"/>
      <c r="O31" s="248"/>
      <c r="P31" s="248"/>
      <c r="Q31" s="248"/>
    </row>
    <row r="32" spans="2:17" s="204" customFormat="1">
      <c r="I32" s="235">
        <f>TS_Proj_Start_Date</f>
        <v>41275</v>
      </c>
      <c r="K32" s="248"/>
      <c r="L32" s="248"/>
      <c r="M32" s="248"/>
      <c r="N32" s="248"/>
      <c r="O32" s="248"/>
      <c r="P32" s="248"/>
      <c r="Q32" s="248"/>
    </row>
    <row r="33" spans="2:17" s="204" customFormat="1">
      <c r="D33" s="65" t="s">
        <v>245</v>
      </c>
      <c r="I33" s="236">
        <f ca="1">OFFSET(BS_Hist_TO!$I$23,0,TS_Data_Total_Pers)</f>
        <v>10.764600409836065</v>
      </c>
      <c r="K33" s="248"/>
      <c r="L33" s="248"/>
      <c r="M33" s="248"/>
      <c r="N33" s="248"/>
      <c r="O33" s="248"/>
      <c r="P33" s="248"/>
      <c r="Q33" s="248"/>
    </row>
    <row r="34" spans="2:17" s="204" customFormat="1">
      <c r="D34" s="65" t="s">
        <v>407</v>
      </c>
      <c r="I34" s="231"/>
      <c r="J34" s="230">
        <v>30</v>
      </c>
      <c r="K34" s="230">
        <v>30</v>
      </c>
      <c r="L34" s="230">
        <v>30</v>
      </c>
      <c r="M34" s="230">
        <v>30</v>
      </c>
      <c r="N34" s="230">
        <v>30</v>
      </c>
      <c r="O34" s="230">
        <v>30</v>
      </c>
      <c r="P34" s="230">
        <v>30</v>
      </c>
      <c r="Q34" s="230">
        <v>30</v>
      </c>
    </row>
    <row r="35" spans="2:17" s="204" customFormat="1">
      <c r="K35" s="248"/>
      <c r="L35" s="248"/>
      <c r="M35" s="248"/>
      <c r="N35" s="248"/>
      <c r="O35" s="248"/>
      <c r="P35" s="248"/>
      <c r="Q35" s="248"/>
    </row>
    <row r="36" spans="2:17" s="204" customFormat="1" ht="11.25">
      <c r="C36" s="234" t="str">
        <f>BS_Hist_TA!$D$39</f>
        <v>Accounts Payable</v>
      </c>
      <c r="K36" s="248"/>
      <c r="L36" s="248"/>
      <c r="M36" s="248"/>
      <c r="N36" s="248"/>
      <c r="O36" s="248"/>
      <c r="P36" s="248"/>
      <c r="Q36" s="248"/>
    </row>
    <row r="37" spans="2:17" s="204" customFormat="1">
      <c r="I37" s="235">
        <f>TS_Proj_Start_Date</f>
        <v>41275</v>
      </c>
      <c r="K37" s="248"/>
      <c r="L37" s="248"/>
      <c r="M37" s="248"/>
      <c r="N37" s="248"/>
      <c r="O37" s="248"/>
      <c r="P37" s="248"/>
      <c r="Q37" s="248"/>
    </row>
    <row r="38" spans="2:17" s="204" customFormat="1">
      <c r="D38" s="65" t="s">
        <v>245</v>
      </c>
      <c r="I38" s="236">
        <f ca="1">OFFSET(BS_Hist_TO!$I$39,0,TS_Data_Total_Pers)</f>
        <v>8.3963883196721305</v>
      </c>
      <c r="K38" s="248"/>
      <c r="L38" s="248"/>
      <c r="M38" s="248"/>
      <c r="N38" s="248"/>
      <c r="O38" s="248"/>
      <c r="P38" s="248"/>
      <c r="Q38" s="248"/>
    </row>
    <row r="39" spans="2:17" s="20" customFormat="1">
      <c r="C39" s="204"/>
      <c r="D39" s="65" t="s">
        <v>408</v>
      </c>
      <c r="J39" s="230">
        <v>45</v>
      </c>
      <c r="K39" s="230">
        <v>45</v>
      </c>
      <c r="L39" s="230">
        <v>45</v>
      </c>
      <c r="M39" s="230">
        <v>45</v>
      </c>
      <c r="N39" s="230">
        <v>45</v>
      </c>
      <c r="O39" s="230">
        <v>45</v>
      </c>
      <c r="P39" s="230">
        <v>45</v>
      </c>
      <c r="Q39" s="230">
        <v>45</v>
      </c>
    </row>
    <row r="40" spans="2:17" s="20" customFormat="1">
      <c r="J40" s="169"/>
      <c r="K40" s="248"/>
      <c r="L40" s="248"/>
      <c r="M40" s="248"/>
      <c r="N40" s="248"/>
      <c r="O40" s="248"/>
      <c r="P40" s="248"/>
      <c r="Q40" s="248"/>
    </row>
    <row r="41" spans="2:17" s="20" customFormat="1">
      <c r="C41" s="62" t="s">
        <v>203</v>
      </c>
      <c r="D41" s="169"/>
      <c r="K41" s="248"/>
      <c r="L41" s="248"/>
      <c r="M41" s="248"/>
      <c r="N41" s="248"/>
      <c r="O41" s="248"/>
      <c r="P41" s="248"/>
      <c r="Q41" s="248"/>
    </row>
    <row r="42" spans="2:17" s="20" customFormat="1">
      <c r="C42" s="81">
        <v>1</v>
      </c>
      <c r="D42" s="65" t="s">
        <v>464</v>
      </c>
      <c r="K42" s="248"/>
      <c r="L42" s="248"/>
      <c r="M42" s="248"/>
      <c r="N42" s="248"/>
      <c r="O42" s="248"/>
      <c r="P42" s="248"/>
      <c r="Q42" s="248"/>
    </row>
    <row r="43" spans="2:17" s="20" customFormat="1">
      <c r="K43" s="248"/>
      <c r="L43" s="248"/>
      <c r="M43" s="248"/>
      <c r="N43" s="248"/>
      <c r="O43" s="248"/>
      <c r="P43" s="248"/>
      <c r="Q43" s="248"/>
    </row>
    <row r="44" spans="2:17" s="20" customFormat="1">
      <c r="K44" s="248"/>
      <c r="L44" s="248"/>
      <c r="M44" s="248"/>
      <c r="N44" s="248"/>
      <c r="O44" s="248"/>
      <c r="P44" s="248"/>
      <c r="Q44" s="248"/>
    </row>
    <row r="45" spans="2:17" s="20" customFormat="1" ht="12.75">
      <c r="B45" s="113" t="s">
        <v>403</v>
      </c>
      <c r="I45" s="204"/>
      <c r="K45" s="248"/>
      <c r="L45" s="248"/>
      <c r="M45" s="248"/>
      <c r="N45" s="248"/>
      <c r="O45" s="248"/>
      <c r="P45" s="248"/>
      <c r="Q45" s="248"/>
    </row>
    <row r="46" spans="2:17" s="204" customFormat="1">
      <c r="K46" s="248"/>
      <c r="L46" s="248"/>
      <c r="M46" s="248"/>
      <c r="N46" s="248"/>
      <c r="O46" s="248"/>
      <c r="P46" s="248"/>
      <c r="Q46" s="248"/>
    </row>
    <row r="47" spans="2:17" s="204" customFormat="1" ht="12.75">
      <c r="B47" s="113"/>
      <c r="C47" s="234" t="str">
        <f>BS_Hist_TA!$D$29</f>
        <v>Assets</v>
      </c>
      <c r="I47" s="232"/>
      <c r="K47" s="248"/>
      <c r="L47" s="248"/>
      <c r="M47" s="248"/>
      <c r="N47" s="248"/>
      <c r="O47" s="248"/>
      <c r="P47" s="248"/>
      <c r="Q47" s="248"/>
    </row>
    <row r="48" spans="2:17" s="204" customFormat="1">
      <c r="I48" s="235">
        <f>TS_Proj_Start_Date</f>
        <v>41275</v>
      </c>
      <c r="K48" s="248"/>
      <c r="L48" s="248"/>
      <c r="M48" s="248"/>
      <c r="N48" s="248"/>
      <c r="O48" s="248"/>
      <c r="P48" s="248"/>
      <c r="Q48" s="248"/>
    </row>
    <row r="49" spans="2:17" s="204" customFormat="1">
      <c r="D49" s="65" t="s">
        <v>245</v>
      </c>
      <c r="I49" s="236">
        <f ca="1">OFFSET(BS_Hist_TO!$I$29,0,TS_Data_Total_Pers)</f>
        <v>149.6134375</v>
      </c>
      <c r="K49" s="248"/>
      <c r="L49" s="248"/>
      <c r="M49" s="248"/>
      <c r="N49" s="248"/>
      <c r="O49" s="248"/>
      <c r="P49" s="248"/>
      <c r="Q49" s="248"/>
    </row>
    <row r="50" spans="2:17" s="204" customFormat="1">
      <c r="D50" s="65" t="s">
        <v>468</v>
      </c>
      <c r="I50" s="231"/>
      <c r="J50" s="64">
        <v>0.9</v>
      </c>
      <c r="K50" s="64">
        <v>0.9</v>
      </c>
      <c r="L50" s="64">
        <v>0.9</v>
      </c>
      <c r="M50" s="64">
        <v>0.9</v>
      </c>
      <c r="N50" s="64">
        <v>0.9</v>
      </c>
      <c r="O50" s="64">
        <v>0.9</v>
      </c>
      <c r="P50" s="64">
        <v>0.9</v>
      </c>
      <c r="Q50" s="64">
        <v>0.9</v>
      </c>
    </row>
    <row r="51" spans="2:17" s="204" customFormat="1">
      <c r="K51" s="248"/>
      <c r="L51" s="248"/>
      <c r="M51" s="248"/>
      <c r="N51" s="248"/>
      <c r="O51" s="248"/>
      <c r="P51" s="248"/>
      <c r="Q51" s="248"/>
    </row>
    <row r="52" spans="2:17" s="204" customFormat="1" ht="12.75">
      <c r="B52" s="113"/>
      <c r="C52" s="234" t="str">
        <f>BS_Hist_TA!$D$30</f>
        <v>Intangibles</v>
      </c>
      <c r="I52" s="232"/>
      <c r="K52" s="248"/>
      <c r="L52" s="248"/>
      <c r="M52" s="248"/>
      <c r="N52" s="248"/>
      <c r="O52" s="248"/>
      <c r="P52" s="248"/>
      <c r="Q52" s="248"/>
    </row>
    <row r="53" spans="2:17" s="204" customFormat="1">
      <c r="I53" s="235">
        <f>TS_Proj_Start_Date</f>
        <v>41275</v>
      </c>
      <c r="K53" s="248"/>
      <c r="L53" s="248"/>
      <c r="M53" s="248"/>
      <c r="N53" s="248"/>
      <c r="O53" s="248"/>
      <c r="P53" s="248"/>
      <c r="Q53" s="248"/>
    </row>
    <row r="54" spans="2:17" s="204" customFormat="1">
      <c r="D54" s="65" t="s">
        <v>245</v>
      </c>
      <c r="I54" s="236">
        <f ca="1">OFFSET(BS_Hist_TO!$I$30,0,TS_Data_Total_Pers)</f>
        <v>17.266796874999997</v>
      </c>
      <c r="K54" s="248"/>
      <c r="L54" s="248"/>
      <c r="M54" s="248"/>
      <c r="N54" s="248"/>
      <c r="O54" s="248"/>
      <c r="P54" s="248"/>
      <c r="Q54" s="248"/>
    </row>
    <row r="55" spans="2:17" s="204" customFormat="1">
      <c r="D55" s="65" t="s">
        <v>468</v>
      </c>
      <c r="I55" s="231"/>
      <c r="J55" s="64">
        <v>0.25</v>
      </c>
      <c r="K55" s="64">
        <v>0.25</v>
      </c>
      <c r="L55" s="64">
        <v>0.25</v>
      </c>
      <c r="M55" s="64">
        <v>0.25</v>
      </c>
      <c r="N55" s="64">
        <v>0.25</v>
      </c>
      <c r="O55" s="64">
        <v>0.25</v>
      </c>
      <c r="P55" s="64">
        <v>0.25</v>
      </c>
      <c r="Q55" s="64">
        <v>0.25</v>
      </c>
    </row>
    <row r="56" spans="2:17" s="20" customFormat="1">
      <c r="K56" s="248"/>
      <c r="L56" s="248"/>
      <c r="M56" s="248"/>
      <c r="N56" s="248"/>
      <c r="O56" s="248"/>
      <c r="P56" s="248"/>
      <c r="Q56" s="248"/>
    </row>
    <row r="57" spans="2:17" s="20" customFormat="1">
      <c r="K57" s="248"/>
      <c r="L57" s="248"/>
      <c r="M57" s="248"/>
      <c r="N57" s="248"/>
      <c r="O57" s="248"/>
      <c r="P57" s="248"/>
      <c r="Q57" s="248"/>
    </row>
    <row r="58" spans="2:17" s="20" customFormat="1" ht="12.75">
      <c r="B58" s="113" t="s">
        <v>404</v>
      </c>
      <c r="K58" s="248"/>
      <c r="L58" s="248"/>
      <c r="M58" s="248"/>
      <c r="N58" s="248"/>
      <c r="O58" s="248"/>
      <c r="P58" s="248"/>
      <c r="Q58" s="248"/>
    </row>
    <row r="59" spans="2:17" s="20" customFormat="1">
      <c r="K59" s="248"/>
      <c r="L59" s="248"/>
      <c r="M59" s="248"/>
      <c r="N59" s="248"/>
      <c r="O59" s="248"/>
      <c r="P59" s="248"/>
      <c r="Q59" s="248"/>
    </row>
    <row r="60" spans="2:17" s="169" customFormat="1" ht="11.25">
      <c r="C60" s="234" t="str">
        <f>BS_Hist_TA!$D$48</f>
        <v>Debt</v>
      </c>
      <c r="K60" s="248"/>
      <c r="L60" s="248"/>
      <c r="M60" s="248"/>
      <c r="N60" s="248"/>
      <c r="O60" s="248"/>
      <c r="P60" s="248"/>
      <c r="Q60" s="248"/>
    </row>
    <row r="61" spans="2:17" s="169" customFormat="1">
      <c r="K61" s="248"/>
      <c r="L61" s="248"/>
      <c r="M61" s="248"/>
      <c r="N61" s="248"/>
      <c r="O61" s="248"/>
      <c r="P61" s="248"/>
      <c r="Q61" s="248"/>
    </row>
    <row r="62" spans="2:17" s="18" customFormat="1">
      <c r="D62" s="134" t="str">
        <f>"Funds Drawn ("&amp;INDEX(LU_Denom,DD_TS_Denom)&amp;")"</f>
        <v>Funds Drawn ($Millions)</v>
      </c>
      <c r="K62" s="248"/>
      <c r="L62" s="248"/>
      <c r="M62" s="248"/>
      <c r="N62" s="248"/>
      <c r="O62" s="248"/>
      <c r="P62" s="248"/>
      <c r="Q62" s="248"/>
    </row>
    <row r="63" spans="2:17" s="18" customFormat="1">
      <c r="I63" s="235">
        <f>TS_Proj_Start_Date</f>
        <v>41275</v>
      </c>
      <c r="K63" s="248"/>
      <c r="L63" s="248"/>
      <c r="M63" s="248"/>
      <c r="N63" s="248"/>
      <c r="O63" s="248"/>
      <c r="P63" s="248"/>
      <c r="Q63" s="248"/>
    </row>
    <row r="64" spans="2:17" s="18" customFormat="1">
      <c r="E64" s="65" t="s">
        <v>245</v>
      </c>
      <c r="I64" s="236">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c r="E65" s="65" t="s">
        <v>246</v>
      </c>
      <c r="J65" s="114">
        <v>0</v>
      </c>
      <c r="K65" s="114">
        <v>0</v>
      </c>
      <c r="L65" s="114">
        <v>0</v>
      </c>
      <c r="M65" s="114">
        <v>0</v>
      </c>
      <c r="N65" s="114">
        <v>50</v>
      </c>
      <c r="O65" s="114">
        <v>0</v>
      </c>
      <c r="P65" s="114">
        <v>0</v>
      </c>
      <c r="Q65" s="114">
        <v>0</v>
      </c>
    </row>
    <row r="66" spans="3:17" s="18" customFormat="1">
      <c r="E66" s="65" t="s">
        <v>247</v>
      </c>
      <c r="J66" s="114">
        <v>0</v>
      </c>
      <c r="K66" s="114">
        <v>0</v>
      </c>
      <c r="L66" s="114">
        <v>0</v>
      </c>
      <c r="M66" s="114">
        <v>0</v>
      </c>
      <c r="N66" s="114">
        <v>45</v>
      </c>
      <c r="O66" s="114">
        <v>0</v>
      </c>
      <c r="P66" s="114">
        <v>0</v>
      </c>
      <c r="Q66" s="114">
        <v>0</v>
      </c>
    </row>
    <row r="67" spans="3:17" s="18" customFormat="1">
      <c r="E67" s="62" t="s">
        <v>248</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c r="K68" s="248"/>
      <c r="L68" s="248"/>
      <c r="M68" s="248"/>
      <c r="N68" s="248"/>
      <c r="O68" s="248"/>
      <c r="P68" s="248"/>
      <c r="Q68" s="248"/>
    </row>
    <row r="69" spans="3:17" s="18" customFormat="1">
      <c r="E69" s="65" t="s">
        <v>249</v>
      </c>
      <c r="J69" s="63">
        <v>0.5</v>
      </c>
      <c r="K69" s="63">
        <v>0.5</v>
      </c>
      <c r="L69" s="63">
        <v>0.5</v>
      </c>
      <c r="M69" s="63">
        <v>0.5</v>
      </c>
      <c r="N69" s="63">
        <v>0.5</v>
      </c>
      <c r="O69" s="63">
        <v>0.5</v>
      </c>
      <c r="P69" s="63">
        <v>0.5</v>
      </c>
      <c r="Q69" s="63">
        <v>0.5</v>
      </c>
    </row>
    <row r="70" spans="3:17" s="18" customFormat="1">
      <c r="K70" s="248"/>
      <c r="L70" s="248"/>
      <c r="M70" s="248"/>
      <c r="N70" s="248"/>
      <c r="O70" s="248"/>
      <c r="P70" s="248"/>
      <c r="Q70" s="248"/>
    </row>
    <row r="71" spans="3:17" s="18" customFormat="1">
      <c r="D71" s="62" t="s">
        <v>250</v>
      </c>
      <c r="K71" s="248"/>
      <c r="L71" s="248"/>
      <c r="M71" s="248"/>
      <c r="N71" s="248"/>
      <c r="O71" s="248"/>
      <c r="P71" s="248"/>
      <c r="Q71" s="248"/>
    </row>
    <row r="72" spans="3:17" s="18" customFormat="1">
      <c r="I72" s="235">
        <f>TS_Proj_Start_Date</f>
        <v>41275</v>
      </c>
      <c r="K72" s="248"/>
      <c r="L72" s="248"/>
      <c r="M72" s="248"/>
      <c r="N72" s="248"/>
      <c r="O72" s="248"/>
      <c r="P72" s="248"/>
      <c r="Q72" s="248"/>
    </row>
    <row r="73" spans="3:17" s="18" customFormat="1">
      <c r="E73" s="130" t="str">
        <f>"Opening Interest Payable ("&amp;INDEX(LU_Denom,DD_TS_Denom)&amp;")"</f>
        <v>Opening Interest Payable ($Millions)</v>
      </c>
      <c r="I73" s="236">
        <f ca="1">OFFSET(BS_Hist_TO!$I$41,0,TS_Data_Total_Pers)</f>
        <v>0</v>
      </c>
      <c r="K73" s="248"/>
      <c r="L73" s="248"/>
      <c r="M73" s="248"/>
      <c r="N73" s="248"/>
      <c r="O73" s="248"/>
      <c r="P73" s="248"/>
      <c r="Q73" s="248"/>
    </row>
    <row r="74" spans="3:17" s="18" customFormat="1">
      <c r="K74" s="248"/>
      <c r="L74" s="248"/>
      <c r="M74" s="248"/>
      <c r="N74" s="248"/>
      <c r="O74" s="248"/>
      <c r="P74" s="248"/>
      <c r="Q74" s="248"/>
    </row>
    <row r="75" spans="3:17" s="18" customFormat="1">
      <c r="E75" s="65" t="s">
        <v>251</v>
      </c>
      <c r="J75" s="132">
        <v>0.05</v>
      </c>
      <c r="K75" s="132">
        <v>0.05</v>
      </c>
      <c r="L75" s="132">
        <v>0.05</v>
      </c>
      <c r="M75" s="132">
        <v>0.05</v>
      </c>
      <c r="N75" s="132">
        <v>0.05</v>
      </c>
      <c r="O75" s="132">
        <v>0.05</v>
      </c>
      <c r="P75" s="132">
        <v>0.05</v>
      </c>
      <c r="Q75" s="132">
        <v>0.05</v>
      </c>
    </row>
    <row r="76" spans="3:17" s="18" customFormat="1">
      <c r="E76" s="65" t="s">
        <v>252</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c r="E77" s="65" t="s">
        <v>253</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c r="K78" s="248"/>
      <c r="L78" s="248"/>
      <c r="M78" s="248"/>
      <c r="N78" s="248"/>
      <c r="O78" s="248"/>
      <c r="P78" s="248"/>
      <c r="Q78" s="248"/>
    </row>
    <row r="79" spans="3:17" s="18" customFormat="1" ht="11.25">
      <c r="C79" s="234" t="str">
        <f>BS_Hist_TA!D59</f>
        <v>Ordinary Equity</v>
      </c>
      <c r="K79" s="248"/>
      <c r="L79" s="248"/>
      <c r="M79" s="248"/>
      <c r="N79" s="248"/>
      <c r="O79" s="248"/>
      <c r="P79" s="248"/>
      <c r="Q79" s="248"/>
    </row>
    <row r="80" spans="3:17" s="18" customFormat="1">
      <c r="K80" s="248"/>
      <c r="L80" s="248"/>
      <c r="M80" s="248"/>
      <c r="N80" s="248"/>
      <c r="O80" s="248"/>
      <c r="P80" s="248"/>
      <c r="Q80" s="248"/>
    </row>
    <row r="81" spans="4:17" s="18" customFormat="1">
      <c r="D81" s="134" t="str">
        <f>"Ordinary Equity Balances"&amp;" ("&amp;INDEX(LU_Denom,DD_TS_Denom)&amp;")"</f>
        <v>Ordinary Equity Balances ($Millions)</v>
      </c>
      <c r="K81" s="248"/>
      <c r="L81" s="248"/>
      <c r="M81" s="248"/>
      <c r="N81" s="248"/>
      <c r="O81" s="248"/>
      <c r="P81" s="248"/>
      <c r="Q81" s="248"/>
    </row>
    <row r="82" spans="4:17" s="18" customFormat="1">
      <c r="I82" s="235">
        <f>TS_Proj_Start_Date</f>
        <v>41275</v>
      </c>
      <c r="K82" s="248"/>
      <c r="L82" s="248"/>
      <c r="M82" s="248"/>
      <c r="N82" s="248"/>
      <c r="O82" s="248"/>
      <c r="P82" s="248"/>
      <c r="Q82" s="248"/>
    </row>
    <row r="83" spans="4:17" s="18" customFormat="1">
      <c r="E83" s="65" t="s">
        <v>245</v>
      </c>
      <c r="I83" s="236">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c r="E84" s="65" t="s">
        <v>264</v>
      </c>
      <c r="J84" s="114">
        <v>0</v>
      </c>
      <c r="K84" s="114">
        <v>0</v>
      </c>
      <c r="L84" s="114">
        <v>0</v>
      </c>
      <c r="M84" s="114">
        <v>0</v>
      </c>
      <c r="N84" s="114">
        <v>0</v>
      </c>
      <c r="O84" s="114">
        <v>0</v>
      </c>
      <c r="P84" s="114">
        <v>0</v>
      </c>
      <c r="Q84" s="114">
        <v>0</v>
      </c>
    </row>
    <row r="85" spans="4:17" s="18" customFormat="1">
      <c r="E85" s="65" t="s">
        <v>265</v>
      </c>
      <c r="J85" s="114">
        <v>0</v>
      </c>
      <c r="K85" s="114">
        <v>0</v>
      </c>
      <c r="L85" s="114">
        <v>0</v>
      </c>
      <c r="M85" s="114">
        <v>0</v>
      </c>
      <c r="N85" s="114">
        <v>0</v>
      </c>
      <c r="O85" s="114">
        <v>0</v>
      </c>
      <c r="P85" s="114">
        <v>0</v>
      </c>
      <c r="Q85" s="114">
        <v>0</v>
      </c>
    </row>
    <row r="86" spans="4:17" s="18" customFormat="1">
      <c r="E86" s="62" t="s">
        <v>266</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row r="88" spans="4:17" s="18" customFormat="1">
      <c r="D88" s="62" t="s">
        <v>267</v>
      </c>
    </row>
    <row r="89" spans="4:17" s="18" customFormat="1">
      <c r="I89" s="235">
        <f>TS_Proj_Start_Date</f>
        <v>41275</v>
      </c>
    </row>
    <row r="90" spans="4:17" s="18" customFormat="1">
      <c r="E90" s="130" t="str">
        <f>"Opening Dividends Payable ("&amp;INDEX(LU_Denom,DD_TS_Denom)&amp;")"</f>
        <v>Opening Dividends Payable ($Millions)</v>
      </c>
      <c r="I90" s="236">
        <f ca="1">OFFSET(BS_Hist_TO!$I$42,0,TS_Data_Total_Pers)</f>
        <v>0</v>
      </c>
    </row>
    <row r="91" spans="4:17" s="18" customFormat="1"/>
    <row r="92" spans="4:17" s="18" customFormat="1" ht="15.75" customHeight="1">
      <c r="E92" s="65" t="s">
        <v>541</v>
      </c>
      <c r="I92" s="80">
        <v>1</v>
      </c>
    </row>
    <row r="93" spans="4:17" s="18" customFormat="1"/>
    <row r="94" spans="4:17" s="18" customFormat="1">
      <c r="E94" s="65" t="s">
        <v>268</v>
      </c>
      <c r="J94" s="137" t="s">
        <v>86</v>
      </c>
      <c r="K94" s="137" t="s">
        <v>86</v>
      </c>
      <c r="L94" s="137" t="s">
        <v>86</v>
      </c>
      <c r="M94" s="137" t="s">
        <v>86</v>
      </c>
      <c r="N94" s="137" t="s">
        <v>86</v>
      </c>
      <c r="O94" s="137" t="s">
        <v>86</v>
      </c>
      <c r="P94" s="137" t="s">
        <v>86</v>
      </c>
      <c r="Q94" s="137" t="s">
        <v>86</v>
      </c>
    </row>
    <row r="95" spans="4:17" s="18" customFormat="1">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row r="98" spans="2:9" s="18" customFormat="1" ht="17.25" customHeight="1">
      <c r="E98" s="80" t="b">
        <v>0</v>
      </c>
    </row>
    <row r="99" spans="2:9" s="18" customFormat="1" ht="17.25" customHeight="1">
      <c r="E99" s="80" t="b">
        <v>0</v>
      </c>
    </row>
    <row r="100" spans="2:9" s="18" customFormat="1"/>
    <row r="101" spans="2:9" s="18" customFormat="1">
      <c r="D101" s="62" t="s">
        <v>203</v>
      </c>
      <c r="E101" s="109"/>
    </row>
    <row r="102" spans="2:9" s="18" customFormat="1">
      <c r="B102" s="109"/>
      <c r="D102" s="81">
        <v>1</v>
      </c>
      <c r="E102" s="65" t="s">
        <v>269</v>
      </c>
    </row>
    <row r="103" spans="2:9" s="18" customFormat="1">
      <c r="B103" s="109"/>
      <c r="D103" s="81">
        <v>2</v>
      </c>
      <c r="E103" s="65" t="s">
        <v>270</v>
      </c>
    </row>
    <row r="104" spans="2:9" s="20" customFormat="1"/>
    <row r="105" spans="2:9" s="20" customFormat="1"/>
    <row r="106" spans="2:9" s="18" customFormat="1" ht="12.75">
      <c r="B106" s="113" t="s">
        <v>405</v>
      </c>
    </row>
    <row r="107" spans="2:9" s="18" customFormat="1"/>
    <row r="108" spans="2:9" s="18" customFormat="1" ht="11.25">
      <c r="C108" s="234" t="str">
        <f>BS_Hist_TA!$D$40</f>
        <v>Tax Payable</v>
      </c>
    </row>
    <row r="109" spans="2:9" s="18" customFormat="1">
      <c r="I109" s="235">
        <f>TS_Proj_Start_Date</f>
        <v>41275</v>
      </c>
    </row>
    <row r="110" spans="2:9" s="169" customFormat="1">
      <c r="D110" s="130" t="str">
        <f>"Opening Tax Payable ("&amp;INDEX(LU_Denom,DD_TS_Denom)&amp;")"</f>
        <v>Opening Tax Payable ($Millions)</v>
      </c>
      <c r="I110" s="236">
        <f ca="1">OFFSET(BS_Hist_TO!$I$40,0,TS_Data_Total_Pers)</f>
        <v>13.484226562500004</v>
      </c>
    </row>
    <row r="111" spans="2:9" s="169" customFormat="1">
      <c r="D111" s="65"/>
    </row>
    <row r="112" spans="2:9" s="18" customFormat="1" ht="11.25">
      <c r="C112" s="61" t="s">
        <v>1</v>
      </c>
    </row>
    <row r="113" spans="2:12" s="18" customFormat="1"/>
    <row r="114" spans="2:12" s="18" customFormat="1">
      <c r="D114" s="65" t="s">
        <v>2</v>
      </c>
      <c r="I114" s="63">
        <v>0.3</v>
      </c>
    </row>
    <row r="115" spans="2:12" s="18" customFormat="1"/>
    <row r="116" spans="2:12" s="18" customFormat="1">
      <c r="C116" s="62" t="s">
        <v>203</v>
      </c>
      <c r="D116" s="109"/>
    </row>
    <row r="117" spans="2:12" s="18" customFormat="1">
      <c r="B117" s="109"/>
      <c r="C117" s="81">
        <v>1</v>
      </c>
      <c r="D117" s="65" t="s">
        <v>475</v>
      </c>
    </row>
    <row r="118" spans="2:12" s="20" customFormat="1">
      <c r="C118" s="81">
        <v>2</v>
      </c>
      <c r="D118" s="65" t="s">
        <v>416</v>
      </c>
    </row>
    <row r="119" spans="2:12" s="20" customFormat="1" ht="10.5" customHeight="1">
      <c r="C119" s="81">
        <v>3</v>
      </c>
      <c r="D119" s="250" t="s">
        <v>477</v>
      </c>
      <c r="E119" s="249"/>
      <c r="F119" s="249"/>
      <c r="G119" s="249"/>
      <c r="H119" s="249"/>
      <c r="I119" s="249"/>
      <c r="J119" s="249"/>
      <c r="K119" s="249"/>
      <c r="L119" s="174"/>
    </row>
    <row r="120" spans="2:12" s="20" customFormat="1">
      <c r="D120" s="249"/>
      <c r="E120" s="249"/>
      <c r="F120" s="249"/>
      <c r="G120" s="249"/>
      <c r="H120" s="249"/>
      <c r="I120" s="249"/>
      <c r="J120" s="249"/>
      <c r="K120" s="249"/>
      <c r="L120" s="174"/>
    </row>
    <row r="121" spans="2:12" s="20" customFormat="1"/>
    <row r="122" spans="2:12" s="20" customFormat="1"/>
    <row r="123" spans="2:12" s="20" customFormat="1" ht="12.75">
      <c r="B123" s="113" t="s">
        <v>567</v>
      </c>
    </row>
    <row r="124" spans="2:12" s="20" customFormat="1"/>
    <row r="125" spans="2:12" s="20" customFormat="1" ht="11.25">
      <c r="C125" s="61" t="s">
        <v>487</v>
      </c>
    </row>
    <row r="126" spans="2:12" s="20" customFormat="1"/>
    <row r="127" spans="2:12" s="169" customFormat="1">
      <c r="D127" s="65" t="s">
        <v>279</v>
      </c>
      <c r="I127" s="236">
        <f ca="1">OFFSET(BS_Hist_TO!$I$22,0,TS_Data_Total_Pers)</f>
        <v>24.635307976188827</v>
      </c>
    </row>
    <row r="128" spans="2:12" s="204" customFormat="1">
      <c r="D128" s="65"/>
      <c r="I128" s="231"/>
    </row>
    <row r="129" spans="2:17" s="204" customFormat="1" ht="11.25">
      <c r="C129" s="61" t="s">
        <v>39</v>
      </c>
      <c r="D129" s="65"/>
      <c r="I129" s="231"/>
    </row>
    <row r="130" spans="2:17" s="204" customFormat="1">
      <c r="D130" s="65"/>
      <c r="I130" s="231"/>
    </row>
    <row r="131" spans="2:17" s="204" customFormat="1">
      <c r="D131" s="65" t="s">
        <v>277</v>
      </c>
      <c r="I131" s="236">
        <f ca="1">OFFSET(BS_Hist_TO!$I$64,0,TS_Data_Total_Pers)</f>
        <v>46.399527878852751</v>
      </c>
    </row>
    <row r="132" spans="2:17" s="20" customFormat="1"/>
    <row r="133" spans="2:17" s="20" customFormat="1" ht="11.25">
      <c r="C133" s="61" t="s">
        <v>545</v>
      </c>
      <c r="I133" s="206" t="s">
        <v>530</v>
      </c>
    </row>
    <row r="134" spans="2:17" s="20" customFormat="1">
      <c r="I134" s="235">
        <f>TS_Proj_Start_Date</f>
        <v>41275</v>
      </c>
    </row>
    <row r="135" spans="2:17" s="20" customFormat="1">
      <c r="D135" s="191" t="str">
        <f>BS_Hist_TA!$D$24</f>
        <v>Other Current Assets</v>
      </c>
      <c r="I135" s="236">
        <f ca="1">OFFSET(BS_Hist_TO!$I$24,0,TS_Data_Total_Pers)</f>
        <v>5</v>
      </c>
      <c r="J135" s="114">
        <v>3</v>
      </c>
      <c r="K135" s="114">
        <v>4</v>
      </c>
      <c r="L135" s="114">
        <v>5</v>
      </c>
      <c r="M135" s="114">
        <v>6</v>
      </c>
      <c r="N135" s="114">
        <v>7</v>
      </c>
      <c r="O135" s="114">
        <v>8</v>
      </c>
      <c r="P135" s="114">
        <v>9</v>
      </c>
      <c r="Q135" s="114">
        <v>10</v>
      </c>
    </row>
    <row r="136" spans="2:17" s="20" customFormat="1">
      <c r="D136" s="191" t="str">
        <f>BS_Hist_TA!$D$32</f>
        <v>Other Non-Current Assets</v>
      </c>
      <c r="I136" s="236">
        <f ca="1">OFFSET(BS_Hist_TO!$I$32,0,TS_Data_Total_Pers)</f>
        <v>6</v>
      </c>
      <c r="J136" s="114">
        <v>4</v>
      </c>
      <c r="K136" s="114">
        <v>5</v>
      </c>
      <c r="L136" s="114">
        <v>6</v>
      </c>
      <c r="M136" s="114">
        <v>7</v>
      </c>
      <c r="N136" s="114">
        <v>8</v>
      </c>
      <c r="O136" s="114">
        <v>9</v>
      </c>
      <c r="P136" s="114">
        <v>10</v>
      </c>
      <c r="Q136" s="114">
        <v>11</v>
      </c>
    </row>
    <row r="137" spans="2:17" s="20" customFormat="1">
      <c r="D137" s="191" t="str">
        <f>BS_Hist_TA!$D$43</f>
        <v>Other Current Liabilities</v>
      </c>
      <c r="I137" s="236">
        <f ca="1">OFFSET(BS_Hist_TO!$I$43,0,TS_Data_Total_Pers)</f>
        <v>7</v>
      </c>
      <c r="J137" s="114">
        <v>5</v>
      </c>
      <c r="K137" s="114">
        <v>6</v>
      </c>
      <c r="L137" s="114">
        <v>7</v>
      </c>
      <c r="M137" s="114">
        <v>8</v>
      </c>
      <c r="N137" s="114">
        <v>9</v>
      </c>
      <c r="O137" s="114">
        <v>10</v>
      </c>
      <c r="P137" s="114">
        <v>11</v>
      </c>
      <c r="Q137" s="114">
        <v>12</v>
      </c>
    </row>
    <row r="138" spans="2:17" s="20" customFormat="1">
      <c r="D138" s="191" t="str">
        <f>BS_Hist_TA!$D$50</f>
        <v>Other Non-Current Liabilities</v>
      </c>
      <c r="I138" s="236">
        <f ca="1">OFFSET(BS_Hist_TO!$I$50,0,TS_Data_Total_Pers)</f>
        <v>8</v>
      </c>
      <c r="J138" s="114">
        <v>6</v>
      </c>
      <c r="K138" s="114">
        <v>7</v>
      </c>
      <c r="L138" s="114">
        <v>8</v>
      </c>
      <c r="M138" s="114">
        <v>9</v>
      </c>
      <c r="N138" s="114">
        <v>10</v>
      </c>
      <c r="O138" s="114">
        <v>11</v>
      </c>
      <c r="P138" s="114">
        <v>12</v>
      </c>
      <c r="Q138" s="114">
        <v>13</v>
      </c>
    </row>
    <row r="139" spans="2:17" s="204" customFormat="1">
      <c r="D139" s="191" t="str">
        <f>BS_Hist_TA!$D$60</f>
        <v>Other Equity</v>
      </c>
      <c r="I139" s="236">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row r="141" spans="2:17" s="20" customFormat="1">
      <c r="D141" s="62" t="s">
        <v>203</v>
      </c>
      <c r="E141" s="169"/>
    </row>
    <row r="142" spans="2:17" s="20" customFormat="1">
      <c r="B142" s="204"/>
      <c r="C142" s="204"/>
      <c r="D142" s="81">
        <v>1</v>
      </c>
      <c r="E142" s="130" t="str">
        <f>"Balance sheet items are specified in "&amp;INDEX(LU_Denom,DD_TS_Denom)&amp;"."</f>
        <v>Balance sheet items are specified in $Millions.</v>
      </c>
      <c r="F142" s="204"/>
    </row>
    <row r="143" spans="2:17" s="20" customFormat="1">
      <c r="D143" s="81">
        <v>2</v>
      </c>
      <c r="E143" s="65" t="s">
        <v>485</v>
      </c>
    </row>
    <row r="144" spans="2:17" s="20" customFormat="1">
      <c r="D144" s="81">
        <v>3</v>
      </c>
      <c r="E144" s="65" t="s">
        <v>486</v>
      </c>
    </row>
    <row r="145" spans="4:5" s="20" customFormat="1">
      <c r="D145" s="81">
        <v>3</v>
      </c>
      <c r="E145" s="65" t="s">
        <v>557</v>
      </c>
    </row>
    <row r="146" spans="4:5" s="20" customFormat="1"/>
    <row r="147" spans="4:5" s="20" customFormat="1"/>
    <row r="148" spans="4:5" s="20" customFormat="1"/>
    <row r="149" spans="4:5" s="20" customFormat="1"/>
    <row r="150" spans="4:5" s="20" customFormat="1"/>
    <row r="151" spans="4:5" s="20" customFormat="1"/>
    <row r="152" spans="4:5" s="20" customFormat="1"/>
    <row r="153" spans="4:5" s="20" customFormat="1"/>
    <row r="154" spans="4:5" s="20" customFormat="1"/>
    <row r="155" spans="4:5" s="20" customFormat="1"/>
    <row r="156" spans="4:5" s="20" customFormat="1"/>
    <row r="157" spans="4:5" s="20" customFormat="1"/>
    <row r="158" spans="4:5" s="20" customFormat="1"/>
    <row r="159" spans="4:5" s="20" customFormat="1"/>
    <row r="160" spans="4:5"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sheetData>
  <mergeCells count="1">
    <mergeCell ref="B3:F3"/>
  </mergeCells>
  <conditionalFormatting sqref="J94:Q94">
    <cfRule type="cellIs" dxfId="67" priority="7" stopIfTrue="1" operator="equal">
      <formula>"Yes"</formula>
    </cfRule>
  </conditionalFormatting>
  <conditionalFormatting sqref="J95:Q95">
    <cfRule type="expression" dxfId="66" priority="2" stopIfTrue="1">
      <formula>OR(DD_Eq_Ord_Div_Meth&lt;&gt;1,J94&lt;&gt;"Yes")</formula>
    </cfRule>
  </conditionalFormatting>
  <conditionalFormatting sqref="J96:Q96">
    <cfRule type="expression" dxfId="65" priority="1" stopIfTrue="1">
      <formula>OR(DD_Eq_Ord_Div_Meth&lt;&gt;2,J94&lt;&gt;"Yes")</formula>
    </cfRule>
  </conditionalFormatting>
  <conditionalFormatting sqref="J18:Q22">
    <cfRule type="expression" dxfId="64" priority="5" stopIfTrue="1">
      <formula>J$12=0</formula>
    </cfRule>
  </conditionalFormatting>
  <conditionalFormatting sqref="J94:Q96 J34:Q34 J39:Q39 J50:Q50 J55:Q55 J65:Q66 J69:Q69 J75:Q76 J84:Q85 J135:Q139">
    <cfRule type="expression" dxfId="63"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7" t="s">
        <v>200</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460</v>
      </c>
    </row>
    <row r="18" spans="3:3">
      <c r="C18" s="26" t="s">
        <v>392</v>
      </c>
    </row>
    <row r="19" spans="3:3">
      <c r="C19" s="26"/>
    </row>
    <row r="20" spans="3:3">
      <c r="C20" s="26"/>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7" t="s">
        <v>508</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186" t="s">
        <v>535</v>
      </c>
    </row>
    <row r="19" spans="3:3">
      <c r="C19" s="186"/>
    </row>
    <row r="20" spans="3:3">
      <c r="C20" s="186"/>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536</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IS_Hist_TA!B16</f>
        <v>Income Statement</v>
      </c>
    </row>
    <row r="17" spans="3:17" s="24" customFormat="1"/>
    <row r="18" spans="3:17" s="24" customFormat="1">
      <c r="D18" s="185" t="str">
        <f>IS_Hist_TA!D18</f>
        <v>Revenue</v>
      </c>
      <c r="J18" s="219">
        <f>IF(J$12=0,0,IS_Hist_TA!J18)</f>
        <v>125</v>
      </c>
      <c r="K18" s="219">
        <f>IF(K$12=0,0,IS_Hist_TA!K18)</f>
        <v>128.125</v>
      </c>
      <c r="L18" s="219">
        <f>IF(L$12=0,0,IS_Hist_TA!L18)</f>
        <v>131.328125</v>
      </c>
      <c r="M18" s="219">
        <f>IF(M$12=0,0,IS_Hist_TA!M18)</f>
        <v>0</v>
      </c>
      <c r="N18" s="219">
        <f>IF(N$12=0,0,IS_Hist_TA!N18)</f>
        <v>0</v>
      </c>
      <c r="O18" s="219">
        <f>IF(O$12=0,0,IS_Hist_TA!O18)</f>
        <v>0</v>
      </c>
      <c r="P18" s="219">
        <f>IF(P$12=0,0,IS_Hist_TA!P18)</f>
        <v>0</v>
      </c>
      <c r="Q18" s="219">
        <f>IF(Q$12=0,0,IS_Hist_TA!Q18)</f>
        <v>0</v>
      </c>
    </row>
    <row r="19" spans="3:17" s="24" customFormat="1">
      <c r="D19" s="185" t="str">
        <f>IS_Hist_TA!D19</f>
        <v>Cost of Goods Sold</v>
      </c>
      <c r="J19" s="219">
        <f>IF(J$12=0,0,IS_Hist_TA!J19)</f>
        <v>-25</v>
      </c>
      <c r="K19" s="219">
        <f>IF(K$12=0,0,IS_Hist_TA!K19)</f>
        <v>-25.624999999999996</v>
      </c>
      <c r="L19" s="219">
        <f>IF(L$12=0,0,IS_Hist_TA!L19)</f>
        <v>-26.265624999999993</v>
      </c>
      <c r="M19" s="219">
        <f>IF(M$12=0,0,IS_Hist_TA!M19)</f>
        <v>0</v>
      </c>
      <c r="N19" s="219">
        <f>IF(N$12=0,0,IS_Hist_TA!N19)</f>
        <v>0</v>
      </c>
      <c r="O19" s="219">
        <f>IF(O$12=0,0,IS_Hist_TA!O19)</f>
        <v>0</v>
      </c>
      <c r="P19" s="219">
        <f>IF(P$12=0,0,IS_Hist_TA!P19)</f>
        <v>0</v>
      </c>
      <c r="Q19" s="219">
        <f>IF(Q$12=0,0,IS_Hist_TA!Q19)</f>
        <v>0</v>
      </c>
    </row>
    <row r="20" spans="3:17" s="24" customFormat="1">
      <c r="J20" s="143"/>
      <c r="K20" s="143"/>
      <c r="L20" s="143"/>
      <c r="M20" s="143"/>
      <c r="N20" s="143"/>
      <c r="O20" s="143"/>
      <c r="P20" s="143"/>
      <c r="Q20" s="143"/>
    </row>
    <row r="21" spans="3:17" s="24" customFormat="1" ht="11.25">
      <c r="C21" s="216" t="str">
        <f>IS_Hist_TA!C21</f>
        <v>Gross Margin</v>
      </c>
      <c r="J21" s="211">
        <f t="shared" ref="J21" si="8">J18+J19</f>
        <v>100</v>
      </c>
      <c r="K21" s="211">
        <f t="shared" ref="K21:Q21" si="9">K18+K19</f>
        <v>102.5</v>
      </c>
      <c r="L21" s="211">
        <f t="shared" si="9"/>
        <v>105.0625</v>
      </c>
      <c r="M21" s="211">
        <f t="shared" si="9"/>
        <v>0</v>
      </c>
      <c r="N21" s="211">
        <f t="shared" si="9"/>
        <v>0</v>
      </c>
      <c r="O21" s="211">
        <f t="shared" si="9"/>
        <v>0</v>
      </c>
      <c r="P21" s="211">
        <f t="shared" si="9"/>
        <v>0</v>
      </c>
      <c r="Q21" s="211">
        <f t="shared" si="9"/>
        <v>0</v>
      </c>
    </row>
    <row r="22" spans="3:17" s="24" customFormat="1">
      <c r="J22" s="143"/>
      <c r="K22" s="143"/>
      <c r="L22" s="143"/>
      <c r="M22" s="143"/>
      <c r="N22" s="143"/>
      <c r="O22" s="143"/>
      <c r="P22" s="143"/>
      <c r="Q22" s="143"/>
    </row>
    <row r="23" spans="3:17" s="24" customFormat="1">
      <c r="D23" s="185" t="str">
        <f>IS_Hist_TA!D23</f>
        <v>Operating Expenditure</v>
      </c>
      <c r="J23" s="219">
        <f>IF(J$12=0,0,IS_Hist_TA!J23)</f>
        <v>-40</v>
      </c>
      <c r="K23" s="219">
        <f>IF(K$12=0,0,IS_Hist_TA!K23)</f>
        <v>-41</v>
      </c>
      <c r="L23" s="219">
        <f>IF(L$12=0,0,IS_Hist_TA!L23)</f>
        <v>-42.024999999999999</v>
      </c>
      <c r="M23" s="219">
        <f>IF(M$12=0,0,IS_Hist_TA!M23)</f>
        <v>0</v>
      </c>
      <c r="N23" s="219">
        <f>IF(N$12=0,0,IS_Hist_TA!N23)</f>
        <v>0</v>
      </c>
      <c r="O23" s="219">
        <f>IF(O$12=0,0,IS_Hist_TA!O23)</f>
        <v>0</v>
      </c>
      <c r="P23" s="219">
        <f>IF(P$12=0,0,IS_Hist_TA!P23)</f>
        <v>0</v>
      </c>
      <c r="Q23" s="219">
        <f>IF(Q$12=0,0,IS_Hist_TA!Q23)</f>
        <v>0</v>
      </c>
    </row>
    <row r="24" spans="3:17" s="24" customFormat="1">
      <c r="J24" s="143"/>
      <c r="K24" s="143"/>
      <c r="L24" s="143"/>
      <c r="M24" s="143"/>
      <c r="N24" s="143"/>
      <c r="O24" s="143"/>
      <c r="P24" s="143"/>
      <c r="Q24" s="143"/>
    </row>
    <row r="25" spans="3:17" s="24" customFormat="1" ht="11.25">
      <c r="C25" s="216" t="str">
        <f>IS_Hist_TA!C25</f>
        <v>EBITDA</v>
      </c>
      <c r="J25" s="211">
        <f t="shared" ref="J25" si="10">J21+J23</f>
        <v>60</v>
      </c>
      <c r="K25" s="211">
        <f t="shared" ref="K25:Q25" si="11">K21+K23</f>
        <v>61.5</v>
      </c>
      <c r="L25" s="211">
        <f t="shared" si="11"/>
        <v>63.037500000000001</v>
      </c>
      <c r="M25" s="211">
        <f t="shared" si="11"/>
        <v>0</v>
      </c>
      <c r="N25" s="211">
        <f t="shared" si="11"/>
        <v>0</v>
      </c>
      <c r="O25" s="211">
        <f t="shared" si="11"/>
        <v>0</v>
      </c>
      <c r="P25" s="211">
        <f t="shared" si="11"/>
        <v>0</v>
      </c>
      <c r="Q25" s="211">
        <f t="shared" si="11"/>
        <v>0</v>
      </c>
    </row>
    <row r="26" spans="3:17" s="24" customFormat="1">
      <c r="J26" s="143"/>
      <c r="K26" s="143"/>
      <c r="L26" s="143"/>
      <c r="M26" s="143"/>
      <c r="N26" s="143"/>
      <c r="O26" s="143"/>
      <c r="P26" s="143"/>
      <c r="Q26" s="143"/>
    </row>
    <row r="27" spans="3:17" s="24" customFormat="1" hidden="1" outlineLevel="2">
      <c r="E27" s="185"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185"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185" t="str">
        <f>IS_Hist_TA!D29</f>
        <v>Depreciation &amp; Amortization</v>
      </c>
      <c r="J29" s="219">
        <f>IF(J$12=0,0,IS_Hist_TA!J29)</f>
        <v>-14.125</v>
      </c>
      <c r="K29" s="219">
        <f>IF(K$12=0,0,IS_Hist_TA!K29)</f>
        <v>-14.478124999999999</v>
      </c>
      <c r="L29" s="219">
        <f>IF(L$12=0,0,IS_Hist_TA!L29)</f>
        <v>-14.840078124999996</v>
      </c>
      <c r="M29" s="219">
        <f>IF(M$12=0,0,IS_Hist_TA!M29)</f>
        <v>0</v>
      </c>
      <c r="N29" s="219">
        <f>IF(N$12=0,0,IS_Hist_TA!N29)</f>
        <v>0</v>
      </c>
      <c r="O29" s="219">
        <f>IF(O$12=0,0,IS_Hist_TA!O29)</f>
        <v>0</v>
      </c>
      <c r="P29" s="219">
        <f>IF(P$12=0,0,IS_Hist_TA!P29)</f>
        <v>0</v>
      </c>
      <c r="Q29" s="219">
        <f>IF(Q$12=0,0,IS_Hist_TA!Q29)</f>
        <v>0</v>
      </c>
    </row>
    <row r="30" spans="3:17" s="24" customFormat="1">
      <c r="J30" s="143"/>
      <c r="K30" s="143"/>
      <c r="L30" s="143"/>
      <c r="M30" s="143"/>
      <c r="N30" s="143"/>
      <c r="O30" s="143"/>
      <c r="P30" s="143"/>
      <c r="Q30" s="143"/>
    </row>
    <row r="31" spans="3:17" s="24" customFormat="1" ht="11.25">
      <c r="C31" s="216" t="str">
        <f>IS_Hist_TA!C31</f>
        <v>EBIT</v>
      </c>
      <c r="J31" s="211">
        <f t="shared" ref="J31" si="12">J25+J29</f>
        <v>45.875</v>
      </c>
      <c r="K31" s="211">
        <f t="shared" ref="K31:Q31" si="13">K25+K29</f>
        <v>47.021875000000001</v>
      </c>
      <c r="L31" s="211">
        <f t="shared" si="13"/>
        <v>48.197421875000003</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c r="D33" s="185" t="str">
        <f>IS_Hist_TA!D33</f>
        <v>Interest Expense</v>
      </c>
      <c r="J33" s="219">
        <f>IF(J$12=0,0,IS_Hist_TA!J33)</f>
        <v>-3.25</v>
      </c>
      <c r="K33" s="219">
        <f>IF(K$12=0,0,IS_Hist_TA!K33)</f>
        <v>-3.25</v>
      </c>
      <c r="L33" s="219">
        <f>IF(L$12=0,0,IS_Hist_TA!L33)</f>
        <v>-3.25</v>
      </c>
      <c r="M33" s="219">
        <f>IF(M$12=0,0,IS_Hist_TA!M33)</f>
        <v>0</v>
      </c>
      <c r="N33" s="219">
        <f>IF(N$12=0,0,IS_Hist_TA!N33)</f>
        <v>0</v>
      </c>
      <c r="O33" s="219">
        <f>IF(O$12=0,0,IS_Hist_TA!O33)</f>
        <v>0</v>
      </c>
      <c r="P33" s="219">
        <f>IF(P$12=0,0,IS_Hist_TA!P33)</f>
        <v>0</v>
      </c>
      <c r="Q33" s="219">
        <f>IF(Q$12=0,0,IS_Hist_TA!Q33)</f>
        <v>0</v>
      </c>
    </row>
    <row r="34" spans="3:17" s="24" customFormat="1">
      <c r="J34" s="143"/>
      <c r="K34" s="143"/>
      <c r="L34" s="143"/>
      <c r="M34" s="143"/>
      <c r="N34" s="143"/>
      <c r="O34" s="143"/>
      <c r="P34" s="143"/>
      <c r="Q34" s="143"/>
    </row>
    <row r="35" spans="3:17" s="24" customFormat="1" ht="11.25">
      <c r="C35" s="216" t="str">
        <f>IS_Hist_TA!C35</f>
        <v>Net Profit Before Tax</v>
      </c>
      <c r="J35" s="211">
        <f t="shared" ref="J35" si="14">J31+J33</f>
        <v>42.625</v>
      </c>
      <c r="K35" s="211">
        <f t="shared" ref="K35:Q35" si="15">K31+K33</f>
        <v>43.771875000000001</v>
      </c>
      <c r="L35" s="211">
        <f t="shared" si="15"/>
        <v>44.947421875000003</v>
      </c>
      <c r="M35" s="211">
        <f t="shared" si="15"/>
        <v>0</v>
      </c>
      <c r="N35" s="211">
        <f t="shared" si="15"/>
        <v>0</v>
      </c>
      <c r="O35" s="211">
        <f t="shared" si="15"/>
        <v>0</v>
      </c>
      <c r="P35" s="211">
        <f t="shared" si="15"/>
        <v>0</v>
      </c>
      <c r="Q35" s="211">
        <f t="shared" si="15"/>
        <v>0</v>
      </c>
    </row>
    <row r="36" spans="3:17" s="24" customFormat="1">
      <c r="J36" s="143"/>
      <c r="K36" s="143"/>
      <c r="L36" s="143"/>
      <c r="M36" s="143"/>
      <c r="N36" s="143"/>
      <c r="O36" s="143"/>
      <c r="P36" s="143"/>
      <c r="Q36" s="143"/>
    </row>
    <row r="37" spans="3:17" s="24" customFormat="1">
      <c r="D37" s="185" t="str">
        <f>IS_Hist_TA!D37</f>
        <v>Tax Expense / (Benefit)</v>
      </c>
      <c r="J37" s="219">
        <f>IF(J$12=0,0,IS_Hist_TA!J37)</f>
        <v>-12.7875</v>
      </c>
      <c r="K37" s="219">
        <f>IF(K$12=0,0,IS_Hist_TA!K37)</f>
        <v>-13.131562499999999</v>
      </c>
      <c r="L37" s="219">
        <f>IF(L$12=0,0,IS_Hist_TA!L37)</f>
        <v>-13.4842265625</v>
      </c>
      <c r="M37" s="219">
        <f>IF(M$12=0,0,IS_Hist_TA!M37)</f>
        <v>0</v>
      </c>
      <c r="N37" s="219">
        <f>IF(N$12=0,0,IS_Hist_TA!N37)</f>
        <v>0</v>
      </c>
      <c r="O37" s="219">
        <f>IF(O$12=0,0,IS_Hist_TA!O37)</f>
        <v>0</v>
      </c>
      <c r="P37" s="219">
        <f>IF(P$12=0,0,IS_Hist_TA!P37)</f>
        <v>0</v>
      </c>
      <c r="Q37" s="219">
        <f>IF(Q$12=0,0,IS_Hist_TA!Q37)</f>
        <v>0</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 si="16">J35+J37</f>
        <v>29.837499999999999</v>
      </c>
      <c r="K39" s="213">
        <f t="shared" ref="K39:Q39" si="17">K35+K37</f>
        <v>30.6403125</v>
      </c>
      <c r="L39" s="213">
        <f t="shared" si="17"/>
        <v>31.463195312500005</v>
      </c>
      <c r="M39" s="213">
        <f t="shared" si="17"/>
        <v>0</v>
      </c>
      <c r="N39" s="213">
        <f t="shared" si="17"/>
        <v>0</v>
      </c>
      <c r="O39" s="213">
        <f t="shared" si="17"/>
        <v>0</v>
      </c>
      <c r="P39" s="213">
        <f t="shared" si="17"/>
        <v>0</v>
      </c>
      <c r="Q39" s="213">
        <f t="shared" si="17"/>
        <v>0</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184" t="s">
        <v>539</v>
      </c>
    </row>
  </sheetData>
  <mergeCells count="1">
    <mergeCell ref="B3:F3"/>
  </mergeCells>
  <conditionalFormatting sqref="J18:Q39">
    <cfRule type="expression" dxfId="62"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49</v>
      </c>
    </row>
    <row r="2" spans="1:17" ht="15">
      <c r="B2" s="2" t="str">
        <f ca="1">Model_Name</f>
        <v>SMA 7. Outputs &amp; Presentations - Practical Exercise (Solution)</v>
      </c>
    </row>
    <row r="3" spans="1:17">
      <c r="B3" s="270" t="s">
        <v>50</v>
      </c>
      <c r="C3" s="270"/>
      <c r="D3" s="270"/>
      <c r="E3" s="270"/>
      <c r="F3" s="270"/>
      <c r="G3" s="270"/>
      <c r="H3" s="270"/>
      <c r="I3" s="270"/>
      <c r="J3" s="262"/>
    </row>
    <row r="6" spans="1:17" s="21" customFormat="1" ht="12.75">
      <c r="A6" s="105" t="s">
        <v>51</v>
      </c>
      <c r="B6" s="255" t="s">
        <v>52</v>
      </c>
      <c r="Q6" s="256"/>
    </row>
    <row r="8" spans="1:17" ht="19.149999999999999" customHeight="1">
      <c r="B8" s="278">
        <v>1</v>
      </c>
      <c r="C8" s="278"/>
      <c r="D8" s="276" t="str">
        <f>Overview_SC!C9</f>
        <v>Overview</v>
      </c>
      <c r="E8" s="276"/>
      <c r="F8" s="276"/>
      <c r="G8" s="276"/>
      <c r="H8" s="276"/>
      <c r="I8" s="276"/>
      <c r="J8" s="276"/>
      <c r="K8" s="276"/>
      <c r="L8" s="276"/>
      <c r="M8" s="276"/>
      <c r="N8" s="276"/>
      <c r="O8" s="276"/>
      <c r="P8" s="276"/>
    </row>
    <row r="9" spans="1:17" ht="11.25">
      <c r="D9" s="277" t="s">
        <v>193</v>
      </c>
      <c r="E9" s="277"/>
      <c r="F9" s="275" t="str">
        <f>Notes_SSC!C9</f>
        <v>Notes</v>
      </c>
      <c r="G9" s="275"/>
      <c r="H9" s="275"/>
      <c r="I9" s="275"/>
      <c r="J9" s="275"/>
      <c r="K9" s="275"/>
      <c r="L9" s="275"/>
      <c r="M9" s="275"/>
      <c r="N9" s="275"/>
      <c r="O9" s="275"/>
      <c r="P9" s="275"/>
    </row>
    <row r="10" spans="1:17" outlineLevel="1">
      <c r="F10" s="272" t="s">
        <v>194</v>
      </c>
      <c r="G10" s="272"/>
      <c r="H10" s="273" t="str">
        <f>Notes_BO!B1</f>
        <v>Model Notes</v>
      </c>
      <c r="I10" s="273"/>
      <c r="J10" s="273"/>
      <c r="K10" s="273"/>
      <c r="L10" s="273"/>
      <c r="M10" s="273"/>
      <c r="N10" s="273"/>
      <c r="O10" s="273"/>
      <c r="P10" s="273"/>
    </row>
    <row r="11" spans="1:17" ht="11.25">
      <c r="D11" s="277" t="s">
        <v>198</v>
      </c>
      <c r="E11" s="277"/>
      <c r="F11" s="275" t="str">
        <f>Keys_SSC!C9</f>
        <v>Keys</v>
      </c>
      <c r="G11" s="275"/>
      <c r="H11" s="275"/>
      <c r="I11" s="275"/>
      <c r="J11" s="275"/>
      <c r="K11" s="275"/>
      <c r="L11" s="275"/>
      <c r="M11" s="275"/>
      <c r="N11" s="275"/>
      <c r="O11" s="275"/>
      <c r="P11" s="275"/>
    </row>
    <row r="12" spans="1:17" outlineLevel="1">
      <c r="F12" s="272" t="s">
        <v>194</v>
      </c>
      <c r="G12" s="272"/>
      <c r="H12" s="273" t="str">
        <f>Keys_BO!B1</f>
        <v>Keys</v>
      </c>
      <c r="I12" s="273"/>
      <c r="J12" s="273"/>
      <c r="K12" s="273"/>
      <c r="L12" s="273"/>
      <c r="M12" s="273"/>
      <c r="N12" s="273"/>
      <c r="O12" s="273"/>
      <c r="P12" s="273"/>
    </row>
    <row r="13" spans="1:17" outlineLevel="1">
      <c r="H13" s="104" t="s">
        <v>202</v>
      </c>
      <c r="I13" s="274" t="str">
        <f>TOC_Hdg_1</f>
        <v>Formats &amp; Styles Key</v>
      </c>
      <c r="J13" s="274"/>
      <c r="K13" s="274"/>
      <c r="L13" s="274"/>
      <c r="M13" s="274"/>
      <c r="N13" s="274"/>
      <c r="O13" s="274"/>
      <c r="P13" s="274"/>
    </row>
    <row r="14" spans="1:17" outlineLevel="1">
      <c r="H14" s="104" t="s">
        <v>202</v>
      </c>
      <c r="I14" s="274" t="str">
        <f>TOC_Hdg_2</f>
        <v>Sheet Naming Key</v>
      </c>
      <c r="J14" s="274"/>
      <c r="K14" s="274"/>
      <c r="L14" s="274"/>
      <c r="M14" s="274"/>
      <c r="N14" s="274"/>
      <c r="O14" s="274"/>
      <c r="P14" s="274"/>
    </row>
    <row r="15" spans="1:17" outlineLevel="1">
      <c r="H15" s="104" t="s">
        <v>202</v>
      </c>
      <c r="I15" s="274" t="str">
        <f>TOC_Hdg_3</f>
        <v>Range Naming Key</v>
      </c>
      <c r="J15" s="274"/>
      <c r="K15" s="274"/>
      <c r="L15" s="274"/>
      <c r="M15" s="274"/>
      <c r="N15" s="274"/>
      <c r="O15" s="274"/>
      <c r="P15" s="274"/>
    </row>
    <row r="16" spans="1:17" ht="19.149999999999999" customHeight="1">
      <c r="B16" s="278">
        <v>2</v>
      </c>
      <c r="C16" s="278"/>
      <c r="D16" s="276" t="str">
        <f>Assumptions_SC!C9</f>
        <v>Assumptions</v>
      </c>
      <c r="E16" s="276"/>
      <c r="F16" s="276"/>
      <c r="G16" s="276"/>
      <c r="H16" s="276"/>
      <c r="I16" s="276"/>
      <c r="J16" s="276"/>
      <c r="K16" s="276"/>
      <c r="L16" s="276"/>
      <c r="M16" s="276"/>
      <c r="N16" s="276"/>
      <c r="O16" s="276"/>
      <c r="P16" s="276"/>
    </row>
    <row r="17" spans="2:16" ht="11.25">
      <c r="D17" s="277" t="s">
        <v>505</v>
      </c>
      <c r="E17" s="277"/>
      <c r="F17" s="275" t="str">
        <f>TS_Ass_SSC!C9</f>
        <v>Time Series Assumptions</v>
      </c>
      <c r="G17" s="275"/>
      <c r="H17" s="275"/>
      <c r="I17" s="275"/>
      <c r="J17" s="275"/>
      <c r="K17" s="275"/>
      <c r="L17" s="275"/>
      <c r="M17" s="275"/>
      <c r="N17" s="275"/>
      <c r="O17" s="275"/>
      <c r="P17" s="275"/>
    </row>
    <row r="18" spans="2:16" outlineLevel="1">
      <c r="F18" s="272" t="s">
        <v>194</v>
      </c>
      <c r="G18" s="272"/>
      <c r="H18" s="273" t="str">
        <f>TS_BA!B1</f>
        <v>Time Series Assumptions</v>
      </c>
      <c r="I18" s="273"/>
      <c r="J18" s="273"/>
      <c r="K18" s="273"/>
      <c r="L18" s="273"/>
      <c r="M18" s="273"/>
      <c r="N18" s="273"/>
      <c r="O18" s="273"/>
      <c r="P18" s="273"/>
    </row>
    <row r="19" spans="2:16" ht="11.25">
      <c r="D19" s="277" t="s">
        <v>507</v>
      </c>
      <c r="E19" s="277"/>
      <c r="F19" s="275" t="str">
        <f>Hist_Ass_SSC!C9</f>
        <v>Historical Assumptions</v>
      </c>
      <c r="G19" s="275"/>
      <c r="H19" s="275"/>
      <c r="I19" s="275"/>
      <c r="J19" s="275"/>
      <c r="K19" s="275"/>
      <c r="L19" s="275"/>
      <c r="M19" s="275"/>
      <c r="N19" s="275"/>
      <c r="O19" s="275"/>
      <c r="P19" s="275"/>
    </row>
    <row r="20" spans="2:16" outlineLevel="1">
      <c r="F20" s="272" t="s">
        <v>194</v>
      </c>
      <c r="G20" s="272"/>
      <c r="H20" s="273" t="str">
        <f>IS_Hist_TA!B1</f>
        <v>Income Statement - Historical Assumptions</v>
      </c>
      <c r="I20" s="273"/>
      <c r="J20" s="273"/>
      <c r="K20" s="273"/>
      <c r="L20" s="273"/>
      <c r="M20" s="273"/>
      <c r="N20" s="273"/>
      <c r="O20" s="273"/>
      <c r="P20" s="273"/>
    </row>
    <row r="21" spans="2:16" outlineLevel="1">
      <c r="F21" s="272" t="s">
        <v>195</v>
      </c>
      <c r="G21" s="272"/>
      <c r="H21" s="273" t="str">
        <f>BS_Hist_TA!B1</f>
        <v>Balance Sheet - Historical Assumptions</v>
      </c>
      <c r="I21" s="273"/>
      <c r="J21" s="273"/>
      <c r="K21" s="273"/>
      <c r="L21" s="273"/>
      <c r="M21" s="273"/>
      <c r="N21" s="273"/>
      <c r="O21" s="273"/>
      <c r="P21" s="273"/>
    </row>
    <row r="22" spans="2:16" outlineLevel="1">
      <c r="F22" s="272" t="s">
        <v>196</v>
      </c>
      <c r="G22" s="272"/>
      <c r="H22" s="273" t="str">
        <f>CFS_Hist_TA!B1</f>
        <v>Cash Flow Statement - Historical Assumptions</v>
      </c>
      <c r="I22" s="273"/>
      <c r="J22" s="273"/>
      <c r="K22" s="273"/>
      <c r="L22" s="273"/>
      <c r="M22" s="273"/>
      <c r="N22" s="273"/>
      <c r="O22" s="273"/>
      <c r="P22" s="273"/>
    </row>
    <row r="23" spans="2:16" ht="11.25">
      <c r="D23" s="277" t="s">
        <v>523</v>
      </c>
      <c r="E23" s="277"/>
      <c r="F23" s="275" t="str">
        <f>Fcast_Ass_SSC!C9</f>
        <v>Forecast Assumptions</v>
      </c>
      <c r="G23" s="275"/>
      <c r="H23" s="275"/>
      <c r="I23" s="275"/>
      <c r="J23" s="275"/>
      <c r="K23" s="275"/>
      <c r="L23" s="275"/>
      <c r="M23" s="275"/>
      <c r="N23" s="275"/>
      <c r="O23" s="275"/>
      <c r="P23" s="275"/>
    </row>
    <row r="24" spans="2:16" outlineLevel="1">
      <c r="F24" s="272" t="s">
        <v>194</v>
      </c>
      <c r="G24" s="272"/>
      <c r="H24" s="273" t="str">
        <f>Fcast_TA!B1</f>
        <v>Forecast Assumptions</v>
      </c>
      <c r="I24" s="273"/>
      <c r="J24" s="273"/>
      <c r="K24" s="273"/>
      <c r="L24" s="273"/>
      <c r="M24" s="273"/>
      <c r="N24" s="273"/>
      <c r="O24" s="273"/>
      <c r="P24" s="273"/>
    </row>
    <row r="25" spans="2:16" outlineLevel="1">
      <c r="H25" s="104" t="s">
        <v>202</v>
      </c>
      <c r="I25" s="274" t="str">
        <f>TOC_Hdg_5</f>
        <v>Operational - Assumptions</v>
      </c>
      <c r="J25" s="274"/>
      <c r="K25" s="274"/>
      <c r="L25" s="274"/>
      <c r="M25" s="274"/>
      <c r="N25" s="274"/>
      <c r="O25" s="274"/>
      <c r="P25" s="274"/>
    </row>
    <row r="26" spans="2:16" outlineLevel="1">
      <c r="H26" s="104" t="s">
        <v>202</v>
      </c>
      <c r="I26" s="274" t="str">
        <f>TOC_Hdg_9</f>
        <v>Working Capital - Assumptions</v>
      </c>
      <c r="J26" s="274"/>
      <c r="K26" s="274"/>
      <c r="L26" s="274"/>
      <c r="M26" s="274"/>
      <c r="N26" s="274"/>
      <c r="O26" s="274"/>
      <c r="P26" s="274"/>
    </row>
    <row r="27" spans="2:16" outlineLevel="1">
      <c r="H27" s="104" t="s">
        <v>202</v>
      </c>
      <c r="I27" s="274" t="str">
        <f>TOC_Hdg_10</f>
        <v>Assets - Assumptions</v>
      </c>
      <c r="J27" s="274"/>
      <c r="K27" s="274"/>
      <c r="L27" s="274"/>
      <c r="M27" s="274"/>
      <c r="N27" s="274"/>
      <c r="O27" s="274"/>
      <c r="P27" s="274"/>
    </row>
    <row r="28" spans="2:16" outlineLevel="1">
      <c r="H28" s="104" t="s">
        <v>202</v>
      </c>
      <c r="I28" s="274" t="str">
        <f>TOC_Hdg_11</f>
        <v>Capital - Assumptions</v>
      </c>
      <c r="J28" s="274"/>
      <c r="K28" s="274"/>
      <c r="L28" s="274"/>
      <c r="M28" s="274"/>
      <c r="N28" s="274"/>
      <c r="O28" s="274"/>
      <c r="P28" s="274"/>
    </row>
    <row r="29" spans="2:16" outlineLevel="1">
      <c r="H29" s="104" t="s">
        <v>202</v>
      </c>
      <c r="I29" s="274" t="str">
        <f>TOC_Hdg_12</f>
        <v>Taxation - Assumptions</v>
      </c>
      <c r="J29" s="274"/>
      <c r="K29" s="274"/>
      <c r="L29" s="274"/>
      <c r="M29" s="274"/>
      <c r="N29" s="274"/>
      <c r="O29" s="274"/>
      <c r="P29" s="274"/>
    </row>
    <row r="30" spans="2:16" outlineLevel="1">
      <c r="H30" s="104" t="s">
        <v>202</v>
      </c>
      <c r="I30" s="274" t="str">
        <f>TOC_Hdg_13</f>
        <v>Other Balance Sheet Items - Assumptions</v>
      </c>
      <c r="J30" s="274"/>
      <c r="K30" s="274"/>
      <c r="L30" s="274"/>
      <c r="M30" s="274"/>
      <c r="N30" s="274"/>
      <c r="O30" s="274"/>
      <c r="P30" s="274"/>
    </row>
    <row r="31" spans="2:16" ht="19.149999999999999" customHeight="1">
      <c r="B31" s="278">
        <v>3</v>
      </c>
      <c r="C31" s="278"/>
      <c r="D31" s="276" t="str">
        <f>Outputs_SC!C9</f>
        <v>Outputs</v>
      </c>
      <c r="E31" s="276"/>
      <c r="F31" s="276"/>
      <c r="G31" s="276"/>
      <c r="H31" s="276"/>
      <c r="I31" s="276"/>
      <c r="J31" s="276"/>
      <c r="K31" s="276"/>
      <c r="L31" s="276"/>
      <c r="M31" s="276"/>
      <c r="N31" s="276"/>
      <c r="O31" s="276"/>
      <c r="P31" s="276"/>
    </row>
    <row r="32" spans="2:16" ht="11.25">
      <c r="D32" s="277" t="s">
        <v>509</v>
      </c>
      <c r="E32" s="277"/>
      <c r="F32" s="275" t="str">
        <f>Hist_OP_SSC!C9</f>
        <v>Historical Outputs</v>
      </c>
      <c r="G32" s="275"/>
      <c r="H32" s="275"/>
      <c r="I32" s="275"/>
      <c r="J32" s="275"/>
      <c r="K32" s="275"/>
      <c r="L32" s="275"/>
      <c r="M32" s="275"/>
      <c r="N32" s="275"/>
      <c r="O32" s="275"/>
      <c r="P32" s="275"/>
    </row>
    <row r="33" spans="4:16" outlineLevel="1">
      <c r="F33" s="272" t="s">
        <v>194</v>
      </c>
      <c r="G33" s="272"/>
      <c r="H33" s="273" t="str">
        <f>IS_Hist_TO!B1</f>
        <v>Income Statement - Historical Outputs</v>
      </c>
      <c r="I33" s="273"/>
      <c r="J33" s="273"/>
      <c r="K33" s="273"/>
      <c r="L33" s="273"/>
      <c r="M33" s="273"/>
      <c r="N33" s="273"/>
      <c r="O33" s="273"/>
      <c r="P33" s="273"/>
    </row>
    <row r="34" spans="4:16" outlineLevel="1">
      <c r="F34" s="272" t="s">
        <v>195</v>
      </c>
      <c r="G34" s="272"/>
      <c r="H34" s="273" t="str">
        <f>BS_Hist_TO!B1</f>
        <v>Balance Sheet - Historical Outputs</v>
      </c>
      <c r="I34" s="273"/>
      <c r="J34" s="273"/>
      <c r="K34" s="273"/>
      <c r="L34" s="273"/>
      <c r="M34" s="273"/>
      <c r="N34" s="273"/>
      <c r="O34" s="273"/>
      <c r="P34" s="273"/>
    </row>
    <row r="35" spans="4:16" outlineLevel="1">
      <c r="F35" s="272" t="s">
        <v>196</v>
      </c>
      <c r="G35" s="272"/>
      <c r="H35" s="273" t="str">
        <f>CFS_Hist_TO!B1</f>
        <v>Cash Flow Statement - Historical Outputs</v>
      </c>
      <c r="I35" s="273"/>
      <c r="J35" s="273"/>
      <c r="K35" s="273"/>
      <c r="L35" s="273"/>
      <c r="M35" s="273"/>
      <c r="N35" s="273"/>
      <c r="O35" s="273"/>
      <c r="P35" s="273"/>
    </row>
    <row r="36" spans="4:16" ht="11.25">
      <c r="D36" s="277" t="s">
        <v>511</v>
      </c>
      <c r="E36" s="277"/>
      <c r="F36" s="275" t="str">
        <f>Fcast_OP_SSC!C9</f>
        <v>Forecast Outputs</v>
      </c>
      <c r="G36" s="275"/>
      <c r="H36" s="275"/>
      <c r="I36" s="275"/>
      <c r="J36" s="275"/>
      <c r="K36" s="275"/>
      <c r="L36" s="275"/>
      <c r="M36" s="275"/>
      <c r="N36" s="275"/>
      <c r="O36" s="275"/>
      <c r="P36" s="275"/>
    </row>
    <row r="37" spans="4:16" outlineLevel="1">
      <c r="F37" s="272" t="s">
        <v>194</v>
      </c>
      <c r="G37" s="272"/>
      <c r="H37" s="273" t="str">
        <f>Fcast_OP_TO!B1</f>
        <v>Forecast Outputs</v>
      </c>
      <c r="I37" s="273"/>
      <c r="J37" s="273"/>
      <c r="K37" s="273"/>
      <c r="L37" s="273"/>
      <c r="M37" s="273"/>
      <c r="N37" s="273"/>
      <c r="O37" s="273"/>
      <c r="P37" s="273"/>
    </row>
    <row r="38" spans="4:16" outlineLevel="1">
      <c r="H38" s="104" t="s">
        <v>202</v>
      </c>
      <c r="I38" s="274" t="str">
        <f>TOC_Hdg_21</f>
        <v>Operational - Outputs</v>
      </c>
      <c r="J38" s="274"/>
      <c r="K38" s="274"/>
      <c r="L38" s="274"/>
      <c r="M38" s="274"/>
      <c r="N38" s="274"/>
      <c r="O38" s="274"/>
      <c r="P38" s="274"/>
    </row>
    <row r="39" spans="4:16" outlineLevel="1">
      <c r="H39" s="104" t="s">
        <v>202</v>
      </c>
      <c r="I39" s="274" t="str">
        <f>TOC_Hdg_24</f>
        <v>Working Capital - Outputs</v>
      </c>
      <c r="J39" s="274"/>
      <c r="K39" s="274"/>
      <c r="L39" s="274"/>
      <c r="M39" s="274"/>
      <c r="N39" s="274"/>
      <c r="O39" s="274"/>
      <c r="P39" s="274"/>
    </row>
    <row r="40" spans="4:16" outlineLevel="1">
      <c r="H40" s="104" t="s">
        <v>202</v>
      </c>
      <c r="I40" s="274" t="str">
        <f>TOC_Hdg_17</f>
        <v>Assets - Outputs</v>
      </c>
      <c r="J40" s="274"/>
      <c r="K40" s="274"/>
      <c r="L40" s="274"/>
      <c r="M40" s="274"/>
      <c r="N40" s="274"/>
      <c r="O40" s="274"/>
      <c r="P40" s="274"/>
    </row>
    <row r="41" spans="4:16" outlineLevel="1">
      <c r="H41" s="104" t="s">
        <v>202</v>
      </c>
      <c r="I41" s="274" t="str">
        <f>TOC_Hdg_15</f>
        <v>Capital - Outputs</v>
      </c>
      <c r="J41" s="274"/>
      <c r="K41" s="274"/>
      <c r="L41" s="274"/>
      <c r="M41" s="274"/>
      <c r="N41" s="274"/>
      <c r="O41" s="274"/>
      <c r="P41" s="274"/>
    </row>
    <row r="42" spans="4:16" outlineLevel="1">
      <c r="H42" s="104" t="s">
        <v>202</v>
      </c>
      <c r="I42" s="274" t="str">
        <f>TOC_Hdg_32</f>
        <v>Taxation - Output Summary</v>
      </c>
      <c r="J42" s="274"/>
      <c r="K42" s="274"/>
      <c r="L42" s="274"/>
      <c r="M42" s="274"/>
      <c r="N42" s="274"/>
      <c r="O42" s="274"/>
      <c r="P42" s="274"/>
    </row>
    <row r="43" spans="4:16" outlineLevel="1">
      <c r="H43" s="104" t="s">
        <v>202</v>
      </c>
      <c r="I43" s="274" t="str">
        <f>TOC_Hdg_16</f>
        <v>Other Balance Sheet Items - Outputs</v>
      </c>
      <c r="J43" s="274"/>
      <c r="K43" s="274"/>
      <c r="L43" s="274"/>
      <c r="M43" s="274"/>
      <c r="N43" s="274"/>
      <c r="O43" s="274"/>
      <c r="P43" s="274"/>
    </row>
    <row r="44" spans="4:16" outlineLevel="1">
      <c r="F44" s="272" t="s">
        <v>195</v>
      </c>
      <c r="G44" s="272"/>
      <c r="H44" s="273" t="str">
        <f>IS_Fcast_TO!B1</f>
        <v>Income Statement - Forecast Outputs</v>
      </c>
      <c r="I44" s="273"/>
      <c r="J44" s="273"/>
      <c r="K44" s="273"/>
      <c r="L44" s="273"/>
      <c r="M44" s="273"/>
      <c r="N44" s="273"/>
      <c r="O44" s="273"/>
      <c r="P44" s="273"/>
    </row>
    <row r="45" spans="4:16" outlineLevel="1">
      <c r="F45" s="272" t="s">
        <v>196</v>
      </c>
      <c r="G45" s="272"/>
      <c r="H45" s="273" t="str">
        <f>BS_Fcast_TO!B1</f>
        <v>Balance Sheet - Forecast Outputs</v>
      </c>
      <c r="I45" s="273"/>
      <c r="J45" s="273"/>
      <c r="K45" s="273"/>
      <c r="L45" s="273"/>
      <c r="M45" s="273"/>
      <c r="N45" s="273"/>
      <c r="O45" s="273"/>
      <c r="P45" s="273"/>
    </row>
    <row r="46" spans="4:16" outlineLevel="1">
      <c r="F46" s="272" t="s">
        <v>550</v>
      </c>
      <c r="G46" s="272"/>
      <c r="H46" s="273" t="str">
        <f>CFS_Fcast_TO!B1</f>
        <v>Cash Flow Statement - Forecast Outputs</v>
      </c>
      <c r="I46" s="273"/>
      <c r="J46" s="273"/>
      <c r="K46" s="273"/>
      <c r="L46" s="273"/>
      <c r="M46" s="273"/>
      <c r="N46" s="273"/>
      <c r="O46" s="273"/>
      <c r="P46" s="273"/>
    </row>
    <row r="47" spans="4:16" ht="11.25">
      <c r="D47" s="277" t="s">
        <v>513</v>
      </c>
      <c r="E47" s="277"/>
      <c r="F47" s="275" t="str">
        <f>All_Pers_OP_SSC!C9</f>
        <v>All Periods Outputs</v>
      </c>
      <c r="G47" s="275"/>
      <c r="H47" s="275"/>
      <c r="I47" s="275"/>
      <c r="J47" s="275"/>
      <c r="K47" s="275"/>
      <c r="L47" s="275"/>
      <c r="M47" s="275"/>
      <c r="N47" s="275"/>
      <c r="O47" s="275"/>
      <c r="P47" s="275"/>
    </row>
    <row r="48" spans="4:16" outlineLevel="1">
      <c r="F48" s="272" t="s">
        <v>194</v>
      </c>
      <c r="G48" s="272"/>
      <c r="H48" s="273" t="str">
        <f>IS_All_TO!B1</f>
        <v>Income Statement - All Periods Outputs</v>
      </c>
      <c r="I48" s="273"/>
      <c r="J48" s="273"/>
      <c r="K48" s="273"/>
      <c r="L48" s="273"/>
      <c r="M48" s="273"/>
      <c r="N48" s="273"/>
      <c r="O48" s="273"/>
      <c r="P48" s="273"/>
    </row>
    <row r="49" spans="2:16" outlineLevel="1">
      <c r="F49" s="272" t="s">
        <v>195</v>
      </c>
      <c r="G49" s="272"/>
      <c r="H49" s="273" t="str">
        <f>BS_All_TO!B1</f>
        <v>Balance Sheet - All Periods Outputs</v>
      </c>
      <c r="I49" s="273"/>
      <c r="J49" s="273"/>
      <c r="K49" s="273"/>
      <c r="L49" s="273"/>
      <c r="M49" s="273"/>
      <c r="N49" s="273"/>
      <c r="O49" s="273"/>
      <c r="P49" s="273"/>
    </row>
    <row r="50" spans="2:16" outlineLevel="1">
      <c r="F50" s="272" t="s">
        <v>196</v>
      </c>
      <c r="G50" s="272"/>
      <c r="H50" s="273" t="str">
        <f>CFS_All_TO!B1</f>
        <v>Cash Flow Statement - All Periods Outputs</v>
      </c>
      <c r="I50" s="273"/>
      <c r="J50" s="273"/>
      <c r="K50" s="273"/>
      <c r="L50" s="273"/>
      <c r="M50" s="273"/>
      <c r="N50" s="273"/>
      <c r="O50" s="273"/>
      <c r="P50" s="273"/>
    </row>
    <row r="51" spans="2:16" ht="11.25">
      <c r="D51" s="277" t="s">
        <v>547</v>
      </c>
      <c r="E51" s="277"/>
      <c r="F51" s="275" t="str">
        <f>Dashboards_SSC!C9</f>
        <v>Dashboard Outputs</v>
      </c>
      <c r="G51" s="275"/>
      <c r="H51" s="275"/>
      <c r="I51" s="275"/>
      <c r="J51" s="275"/>
      <c r="K51" s="275"/>
      <c r="L51" s="275"/>
      <c r="M51" s="275"/>
      <c r="N51" s="275"/>
      <c r="O51" s="275"/>
      <c r="P51" s="275"/>
    </row>
    <row r="52" spans="2:16" outlineLevel="1">
      <c r="F52" s="272" t="s">
        <v>194</v>
      </c>
      <c r="G52" s="272"/>
      <c r="H52" s="273" t="str">
        <f>BS_Sum_P_MS!B1</f>
        <v>Business Planning Summary</v>
      </c>
      <c r="I52" s="273"/>
      <c r="J52" s="273"/>
      <c r="K52" s="273"/>
      <c r="L52" s="273"/>
      <c r="M52" s="273"/>
      <c r="N52" s="273"/>
      <c r="O52" s="273"/>
      <c r="P52" s="273"/>
    </row>
    <row r="53" spans="2:16" outlineLevel="1">
      <c r="F53" s="272" t="s">
        <v>195</v>
      </c>
      <c r="G53" s="272"/>
      <c r="H53" s="273" t="str">
        <f>BS_Sum_2_P_MS!B1</f>
        <v>Business Planning Summary (2)</v>
      </c>
      <c r="I53" s="273"/>
      <c r="J53" s="273"/>
      <c r="K53" s="273"/>
      <c r="L53" s="273"/>
      <c r="M53" s="273"/>
      <c r="N53" s="273"/>
      <c r="O53" s="273"/>
      <c r="P53" s="273"/>
    </row>
    <row r="54" spans="2:16" outlineLevel="1">
      <c r="F54" s="272" t="s">
        <v>196</v>
      </c>
      <c r="G54" s="272"/>
      <c r="H54" s="273" t="str">
        <f>Custom_Dashboard_MS!B1</f>
        <v>Custom Model Schematic Sheet</v>
      </c>
      <c r="I54" s="273"/>
      <c r="J54" s="273"/>
      <c r="K54" s="273"/>
      <c r="L54" s="273"/>
      <c r="M54" s="273"/>
      <c r="N54" s="273"/>
      <c r="O54" s="273"/>
      <c r="P54" s="273"/>
    </row>
    <row r="55" spans="2:16" ht="19.149999999999999" customHeight="1">
      <c r="B55" s="278">
        <v>4</v>
      </c>
      <c r="C55" s="278"/>
      <c r="D55" s="276" t="str">
        <f>Appendices_SC!C9</f>
        <v>Appendices</v>
      </c>
      <c r="E55" s="276"/>
      <c r="F55" s="276"/>
      <c r="G55" s="276"/>
      <c r="H55" s="276"/>
      <c r="I55" s="276"/>
      <c r="J55" s="276"/>
      <c r="K55" s="276"/>
      <c r="L55" s="276"/>
      <c r="M55" s="276"/>
      <c r="N55" s="276"/>
      <c r="O55" s="276"/>
      <c r="P55" s="276"/>
    </row>
    <row r="56" spans="2:16" ht="11.25">
      <c r="D56" s="277" t="s">
        <v>515</v>
      </c>
      <c r="E56" s="277"/>
      <c r="F56" s="275" t="str">
        <f>Checks_SSC!C9</f>
        <v>Checks</v>
      </c>
      <c r="G56" s="275"/>
      <c r="H56" s="275"/>
      <c r="I56" s="275"/>
      <c r="J56" s="275"/>
      <c r="K56" s="275"/>
      <c r="L56" s="275"/>
      <c r="M56" s="275"/>
      <c r="N56" s="275"/>
      <c r="O56" s="275"/>
      <c r="P56" s="275"/>
    </row>
    <row r="57" spans="2:16" outlineLevel="1">
      <c r="F57" s="272" t="s">
        <v>194</v>
      </c>
      <c r="G57" s="272"/>
      <c r="H57" s="273" t="str">
        <f>Checks_BO!B1</f>
        <v>Checks</v>
      </c>
      <c r="I57" s="273"/>
      <c r="J57" s="273"/>
      <c r="K57" s="273"/>
      <c r="L57" s="273"/>
      <c r="M57" s="273"/>
      <c r="N57" s="273"/>
      <c r="O57" s="273"/>
      <c r="P57" s="273"/>
    </row>
    <row r="58" spans="2:16" outlineLevel="1">
      <c r="H58" s="104" t="s">
        <v>202</v>
      </c>
      <c r="I58" s="274" t="str">
        <f>TOC_Hdg_6</f>
        <v>Error Checks</v>
      </c>
      <c r="J58" s="274"/>
      <c r="K58" s="274"/>
      <c r="L58" s="274"/>
      <c r="M58" s="274"/>
      <c r="N58" s="274"/>
      <c r="O58" s="274"/>
      <c r="P58" s="274"/>
    </row>
    <row r="59" spans="2:16" outlineLevel="1">
      <c r="H59" s="104" t="s">
        <v>202</v>
      </c>
      <c r="I59" s="274" t="str">
        <f>TOC_Hdg_7</f>
        <v>Sensitivity Checks</v>
      </c>
      <c r="J59" s="274"/>
      <c r="K59" s="274"/>
      <c r="L59" s="274"/>
      <c r="M59" s="274"/>
      <c r="N59" s="274"/>
      <c r="O59" s="274"/>
      <c r="P59" s="274"/>
    </row>
    <row r="60" spans="2:16" outlineLevel="1">
      <c r="H60" s="104" t="s">
        <v>202</v>
      </c>
      <c r="I60" s="274" t="str">
        <f>TOC_Hdg_8</f>
        <v>Alert Checks</v>
      </c>
      <c r="J60" s="274"/>
      <c r="K60" s="274"/>
      <c r="L60" s="274"/>
      <c r="M60" s="274"/>
      <c r="N60" s="274"/>
      <c r="O60" s="274"/>
      <c r="P60" s="274"/>
    </row>
    <row r="61" spans="2:16" ht="11.25">
      <c r="D61" s="277" t="s">
        <v>517</v>
      </c>
      <c r="E61" s="277"/>
      <c r="F61" s="275" t="str">
        <f>LU_SSC!C9</f>
        <v>Lookup Tables</v>
      </c>
      <c r="G61" s="275"/>
      <c r="H61" s="275"/>
      <c r="I61" s="275"/>
      <c r="J61" s="275"/>
      <c r="K61" s="275"/>
      <c r="L61" s="275"/>
      <c r="M61" s="275"/>
      <c r="N61" s="275"/>
      <c r="O61" s="275"/>
      <c r="P61" s="275"/>
    </row>
    <row r="62" spans="2:16" outlineLevel="1">
      <c r="F62" s="272" t="s">
        <v>194</v>
      </c>
      <c r="G62" s="272"/>
      <c r="H62" s="273" t="str">
        <f>TS_LU!B1</f>
        <v>Time Series Lookup Tables</v>
      </c>
      <c r="I62" s="273"/>
      <c r="J62" s="273"/>
      <c r="K62" s="273"/>
      <c r="L62" s="273"/>
      <c r="M62" s="273"/>
      <c r="N62" s="273"/>
      <c r="O62" s="273"/>
      <c r="P62" s="273"/>
    </row>
    <row r="63" spans="2:16" outlineLevel="1">
      <c r="F63" s="272" t="s">
        <v>195</v>
      </c>
      <c r="G63" s="272"/>
      <c r="H63" s="273" t="str">
        <f>Capital_LU!B1</f>
        <v>Capital - Lookup Tables</v>
      </c>
      <c r="I63" s="273"/>
      <c r="J63" s="273"/>
      <c r="K63" s="273"/>
      <c r="L63" s="273"/>
      <c r="M63" s="273"/>
      <c r="N63" s="273"/>
      <c r="O63" s="273"/>
      <c r="P63" s="273"/>
    </row>
    <row r="64" spans="2:16" outlineLevel="1">
      <c r="F64" s="272" t="s">
        <v>196</v>
      </c>
      <c r="G64" s="272"/>
      <c r="H64" s="273" t="str">
        <f>Dashboards_LU!B1</f>
        <v>Dashboards - Lookup Tables</v>
      </c>
      <c r="I64" s="273"/>
      <c r="J64" s="273"/>
      <c r="K64" s="273"/>
      <c r="L64" s="273"/>
      <c r="M64" s="273"/>
      <c r="N64" s="273"/>
      <c r="O64" s="273"/>
      <c r="P64" s="273"/>
    </row>
  </sheetData>
  <mergeCells count="97">
    <mergeCell ref="D61:E61"/>
    <mergeCell ref="F61:P61"/>
    <mergeCell ref="B3:I3"/>
    <mergeCell ref="F62:G62"/>
    <mergeCell ref="H62:P62"/>
    <mergeCell ref="I58:P58"/>
    <mergeCell ref="I59:P59"/>
    <mergeCell ref="F54:G54"/>
    <mergeCell ref="H54:P54"/>
    <mergeCell ref="B55:C55"/>
    <mergeCell ref="D55:P55"/>
    <mergeCell ref="D56:E56"/>
    <mergeCell ref="F53:G53"/>
    <mergeCell ref="H53:P53"/>
    <mergeCell ref="F56:P56"/>
    <mergeCell ref="F57:G57"/>
    <mergeCell ref="I29:P29"/>
    <mergeCell ref="I30:P30"/>
    <mergeCell ref="H46:P46"/>
    <mergeCell ref="F44:G44"/>
    <mergeCell ref="H44:P44"/>
    <mergeCell ref="F45:G45"/>
    <mergeCell ref="H45:P45"/>
    <mergeCell ref="F37:G37"/>
    <mergeCell ref="H37:P37"/>
    <mergeCell ref="I38:P38"/>
    <mergeCell ref="D23:E23"/>
    <mergeCell ref="F23:P23"/>
    <mergeCell ref="F24:G24"/>
    <mergeCell ref="H24:P24"/>
    <mergeCell ref="I28:P28"/>
    <mergeCell ref="I26:P26"/>
    <mergeCell ref="I27:P27"/>
    <mergeCell ref="B31:C31"/>
    <mergeCell ref="D31:P31"/>
    <mergeCell ref="D32:E32"/>
    <mergeCell ref="F32:P32"/>
    <mergeCell ref="H35:P35"/>
    <mergeCell ref="D51:E51"/>
    <mergeCell ref="F51:P51"/>
    <mergeCell ref="I42:P42"/>
    <mergeCell ref="F48:G48"/>
    <mergeCell ref="H48:P48"/>
    <mergeCell ref="F50:G50"/>
    <mergeCell ref="H50:P50"/>
    <mergeCell ref="I43:P43"/>
    <mergeCell ref="F47:P47"/>
    <mergeCell ref="F49:G49"/>
    <mergeCell ref="H49:P49"/>
    <mergeCell ref="D47:E47"/>
    <mergeCell ref="B8:C8"/>
    <mergeCell ref="D8:P8"/>
    <mergeCell ref="D9:E9"/>
    <mergeCell ref="F9:P9"/>
    <mergeCell ref="D36:E36"/>
    <mergeCell ref="F36:P36"/>
    <mergeCell ref="D11:E11"/>
    <mergeCell ref="B16:C16"/>
    <mergeCell ref="F22:G22"/>
    <mergeCell ref="H22:P22"/>
    <mergeCell ref="I25:P25"/>
    <mergeCell ref="F33:G33"/>
    <mergeCell ref="H33:P33"/>
    <mergeCell ref="F34:G34"/>
    <mergeCell ref="H34:P34"/>
    <mergeCell ref="F35:G35"/>
    <mergeCell ref="I15:P15"/>
    <mergeCell ref="D16:P16"/>
    <mergeCell ref="D17:E17"/>
    <mergeCell ref="F17:P17"/>
    <mergeCell ref="F21:G21"/>
    <mergeCell ref="H21:P21"/>
    <mergeCell ref="D19:E19"/>
    <mergeCell ref="F19:P19"/>
    <mergeCell ref="F20:G20"/>
    <mergeCell ref="H20:P20"/>
    <mergeCell ref="F18:G18"/>
    <mergeCell ref="H18:P18"/>
    <mergeCell ref="F10:G10"/>
    <mergeCell ref="H10:P10"/>
    <mergeCell ref="I13:P13"/>
    <mergeCell ref="I14:P14"/>
    <mergeCell ref="F11:P11"/>
    <mergeCell ref="F12:G12"/>
    <mergeCell ref="H12:P12"/>
    <mergeCell ref="F64:G64"/>
    <mergeCell ref="H64:P64"/>
    <mergeCell ref="I39:P39"/>
    <mergeCell ref="I40:P40"/>
    <mergeCell ref="F46:G46"/>
    <mergeCell ref="F52:G52"/>
    <mergeCell ref="H52:P52"/>
    <mergeCell ref="F63:G63"/>
    <mergeCell ref="H63:P63"/>
    <mergeCell ref="I41:P41"/>
    <mergeCell ref="H57:P57"/>
    <mergeCell ref="I60:P60"/>
  </mergeCells>
  <hyperlinks>
    <hyperlink ref="B8" location="HL_Sheet_Main_2" tooltip="Go to Overview" display="HL_Sheet_Main_2"/>
    <hyperlink ref="D8" location="HL_Sheet_Main_2" tooltip="Go to Overview" display="HL_Sheet_Main_2"/>
    <hyperlink ref="D9" location="HL_Sheet_Main_3" tooltip="Go to Notes" display="HL_Sheet_Main_3"/>
    <hyperlink ref="F9" location="HL_Sheet_Main_3" tooltip="Go to Notes" display="HL_Sheet_Main_3"/>
    <hyperlink ref="F10" location="HL_Sheet_Main" tooltip="Go to Model Notes" display="HL_Sheet_Main"/>
    <hyperlink ref="H10" location="HL_Sheet_Main" tooltip="Go to Model Notes" display="HL_Sheet_Main"/>
    <hyperlink ref="D11" location="HL_Sheet_Main_6" tooltip="Go to Keys" display="HL_Sheet_Main_6"/>
    <hyperlink ref="F11" location="HL_Sheet_Main_6" tooltip="Go to Keys" display="HL_Sheet_Main_6"/>
    <hyperlink ref="F12" location="HL_Sheet_Main_7" tooltip="Go to Keys" display="HL_Sheet_Main_7"/>
    <hyperlink ref="H12" location="HL_Sheet_Main_7" tooltip="Go to Keys" display="HL_Sheet_Main_7"/>
    <hyperlink ref="H13" location="HL_TOC_1" tooltip="Go to Formats &amp; Styles Key" display="HL_TOC_1"/>
    <hyperlink ref="I13" location="HL_TOC_1" tooltip="Go to Formats &amp; Styles Key" display="HL_TOC_1"/>
    <hyperlink ref="H14" location="HL_TOC_2" tooltip="Go to Sheet Naming Key" display="HL_TOC_2"/>
    <hyperlink ref="I14" location="HL_TOC_2" tooltip="Go to Sheet Naming Key" display="HL_TOC_2"/>
    <hyperlink ref="H15" location="HL_TOC_3" tooltip="Go to Range Naming Key" display="HL_TOC_3"/>
    <hyperlink ref="I15" location="HL_TOC_3" tooltip="Go to Range Naming Key" display="HL_TOC_3"/>
    <hyperlink ref="B16" location="HL_Sheet_Main_11" tooltip="Go to Assumptions" display="HL_Sheet_Main_11"/>
    <hyperlink ref="D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H25" location="HL_TOC_5" tooltip="Go to Operational - Assumptions" display="HL_TOC_5"/>
    <hyperlink ref="I25" location="HL_TOC_5" tooltip="Go to Operational - Assumptions" display="HL_TOC_5"/>
    <hyperlink ref="H26" location="HL_TOC_9" tooltip="Go to Working Capital - Assumptions" display="HL_TOC_9"/>
    <hyperlink ref="I26" location="HL_TOC_9" tooltip="Go to Working Capital - Assumptions" display="HL_TOC_9"/>
    <hyperlink ref="H27" location="HL_TOC_10" tooltip="Go to Assets - Assumptions" display="HL_TOC_10"/>
    <hyperlink ref="I27" location="HL_TOC_10" tooltip="Go to Assets - Assumptions" display="HL_TOC_10"/>
    <hyperlink ref="H28" location="HL_TOC_11" tooltip="Go to Capital - Assumptions" display="HL_TOC_11"/>
    <hyperlink ref="I28" location="HL_TOC_11" tooltip="Go to Capital - Assumptions" display="HL_TOC_11"/>
    <hyperlink ref="H29" location="HL_TOC_12" tooltip="Go to Taxation - Assumptions" display="HL_TOC_12"/>
    <hyperlink ref="I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B31" location="HL_Sheet_Main_16" tooltip="Go to Outputs" display="HL_Sheet_Main_16"/>
    <hyperlink ref="D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H38" location="HL_TOC_21" tooltip="Go to Operational - Outputs" display="HL_TOC_21"/>
    <hyperlink ref="I38" location="HL_TOC_21" tooltip="Go to Operational - Outputs" display="HL_TOC_21"/>
    <hyperlink ref="H39" location="HL_TOC_24" tooltip="Go to Working Capital - Outputs" display="HL_TOC_24"/>
    <hyperlink ref="I39" location="HL_TOC_24" tooltip="Go to Working Capital - Outputs" display="HL_TOC_24"/>
    <hyperlink ref="H40" location="HL_TOC_17" tooltip="Go to Assets - Outputs" display="HL_TOC_17"/>
    <hyperlink ref="I40" location="HL_TOC_17" tooltip="Go to Assets - Outputs" display="HL_TOC_17"/>
    <hyperlink ref="H41" location="HL_TOC_15" tooltip="Go to Capital - Outputs" display="HL_TOC_15"/>
    <hyperlink ref="I41" location="HL_TOC_15" tooltip="Go to Capital - Outputs" display="HL_TOC_15"/>
    <hyperlink ref="H42" location="HL_TOC_32" tooltip="Go to Taxation - Output Summary" display="HL_TOC_32"/>
    <hyperlink ref="I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F53" location="HL_Sheet_Main_34" tooltip="Go to Business Planning Summary (2)" display="HL_Sheet_Main_34"/>
    <hyperlink ref="H53" location="HL_Sheet_Main_34" tooltip="Go to Business Planning Summary (2)" display="HL_Sheet_Main_34"/>
    <hyperlink ref="F54" location="HL_Sheet_Main_38" tooltip="Go to Custom Model Schematic Sheet" display="HL_Sheet_Main_38"/>
    <hyperlink ref="H54" location="HL_Sheet_Main_38" tooltip="Go to Custom Model Schematic Sheet" display="HL_Sheet_Main_38"/>
    <hyperlink ref="B55" location="HL_Sheet_Main_39" tooltip="Go to Appendices" display="HL_Sheet_Main_39"/>
    <hyperlink ref="D55" location="HL_Sheet_Main_39" tooltip="Go to Appendices" display="HL_Sheet_Main_39"/>
    <hyperlink ref="D56" location="HL_Sheet_Main_13" tooltip="Go to Checks" display="HL_Sheet_Main_13"/>
    <hyperlink ref="F56" location="HL_Sheet_Main_13" tooltip="Go to Checks" display="HL_Sheet_Main_13"/>
    <hyperlink ref="F57" location="HL_Sheet_Main_14" tooltip="Go to Checks" display="HL_Sheet_Main_14"/>
    <hyperlink ref="H57" location="HL_Sheet_Main_14" tooltip="Go to Checks" display="HL_Sheet_Main_14"/>
    <hyperlink ref="H58" location="HL_TOC_6" tooltip="Go to Error Checks" display="HL_TOC_6"/>
    <hyperlink ref="I58" location="HL_TOC_6" tooltip="Go to Error Checks" display="HL_TOC_6"/>
    <hyperlink ref="H59" location="HL_TOC_7" tooltip="Go to Sensitivity Checks" display="HL_TOC_7"/>
    <hyperlink ref="I59" location="HL_TOC_7" tooltip="Go to Sensitivity Checks" display="HL_TOC_7"/>
    <hyperlink ref="H60" location="HL_TOC_8" tooltip="Go to Alert Checks" display="HL_TOC_8"/>
    <hyperlink ref="I60" location="HL_TOC_8" tooltip="Go to Alert Checks" display="HL_TOC_8"/>
    <hyperlink ref="D61" location="HL_Sheet_Main_40" tooltip="Go to Lookup Tables" display="HL_Sheet_Main_40"/>
    <hyperlink ref="F61" location="HL_Sheet_Main_40" tooltip="Go to Lookup Tables" display="HL_Sheet_Main_40"/>
    <hyperlink ref="F62" location="HL_Sheet_Main_9" tooltip="Go to Time Series Lookup Tables" display="HL_Sheet_Main_9"/>
    <hyperlink ref="H62" location="HL_Sheet_Main_9" tooltip="Go to Time Series Lookup Tables" display="HL_Sheet_Main_9"/>
    <hyperlink ref="F63" location="HL_Sheet_Main_42" tooltip="Go to Capital - Lookup Tables" display="HL_Sheet_Main_42"/>
    <hyperlink ref="H63" location="HL_Sheet_Main_42" tooltip="Go to Capital - Lookup Tables" display="HL_Sheet_Main_42"/>
    <hyperlink ref="F64" location="HL_Sheet_Main_27" tooltip="Go to Dashboards - Lookup Tables" display="HL_Sheet_Main_27"/>
    <hyperlink ref="H6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537</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IF(TS_Data_Final_Stub,"Period End Date",IF(TS_Pers_In_Yr=1,"",TS_Per_Type_Name&amp;" Ending"))</f>
        <v/>
      </c>
      <c r="I6" s="15"/>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row>
    <row r="19" spans="3:17" s="24" customFormat="1"/>
    <row r="20" spans="3:17" s="24" customFormat="1" hidden="1" outlineLevel="2">
      <c r="E20" s="228"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c r="E21" s="228"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c r="D22" s="185" t="str">
        <f>BS_Hist_TA!D22</f>
        <v>Cash at Bank</v>
      </c>
      <c r="I22" s="219">
        <f>IF(ISBLANK(I$12),BS_Hist_TA!I22,IF(I$12=0,0,BS_Hist_TA!I22))</f>
        <v>5</v>
      </c>
      <c r="J22" s="219">
        <f>IF(ISBLANK(J$12),BS_Hist_TA!J22,IF(J$12=0,0,BS_Hist_TA!J22))</f>
        <v>7.5</v>
      </c>
      <c r="K22" s="219">
        <f>IF(ISBLANK(K$12),BS_Hist_TA!K22,IF(K$12=0,0,BS_Hist_TA!K22))</f>
        <v>12.148336900684967</v>
      </c>
      <c r="L22" s="219">
        <f>IF(ISBLANK(L$12),BS_Hist_TA!L22,IF(L$12=0,0,BS_Hist_TA!L22))</f>
        <v>24.635307976188827</v>
      </c>
      <c r="M22" s="219">
        <f>IF(ISBLANK(M$12),BS_Hist_TA!M22,IF(M$12=0,0,BS_Hist_TA!M22))</f>
        <v>0</v>
      </c>
      <c r="N22" s="219">
        <f>IF(ISBLANK(N$12),BS_Hist_TA!N22,IF(N$12=0,0,BS_Hist_TA!N22))</f>
        <v>0</v>
      </c>
      <c r="O22" s="219">
        <f>IF(ISBLANK(O$12),BS_Hist_TA!O22,IF(O$12=0,0,BS_Hist_TA!O22))</f>
        <v>0</v>
      </c>
      <c r="P22" s="219">
        <f>IF(ISBLANK(P$12),BS_Hist_TA!P22,IF(P$12=0,0,BS_Hist_TA!P22))</f>
        <v>0</v>
      </c>
      <c r="Q22" s="219">
        <f>IF(ISBLANK(Q$12),BS_Hist_TA!Q22,IF(Q$12=0,0,BS_Hist_TA!Q22))</f>
        <v>0</v>
      </c>
    </row>
    <row r="23" spans="3:17" s="24" customFormat="1">
      <c r="D23" s="185" t="str">
        <f>BS_Hist_TA!D23</f>
        <v>Accounts Receivable</v>
      </c>
      <c r="I23" s="219">
        <f>IF(ISBLANK(I$12),BS_Hist_TA!I23,IF(I$12=0,0,BS_Hist_TA!I23))</f>
        <v>10.273972602739725</v>
      </c>
      <c r="J23" s="219">
        <f>IF(ISBLANK(J$12),BS_Hist_TA!J23,IF(J$12=0,0,BS_Hist_TA!J23))</f>
        <v>10.273972602739725</v>
      </c>
      <c r="K23" s="219">
        <f>IF(ISBLANK(K$12),BS_Hist_TA!K23,IF(K$12=0,0,BS_Hist_TA!K23))</f>
        <v>10.530821917808218</v>
      </c>
      <c r="L23" s="219">
        <f>IF(ISBLANK(L$12),BS_Hist_TA!L23,IF(L$12=0,0,BS_Hist_TA!L23))</f>
        <v>10.764600409836065</v>
      </c>
      <c r="M23" s="219">
        <f>IF(ISBLANK(M$12),BS_Hist_TA!M23,IF(M$12=0,0,BS_Hist_TA!M23))</f>
        <v>0</v>
      </c>
      <c r="N23" s="219">
        <f>IF(ISBLANK(N$12),BS_Hist_TA!N23,IF(N$12=0,0,BS_Hist_TA!N23))</f>
        <v>0</v>
      </c>
      <c r="O23" s="219">
        <f>IF(ISBLANK(O$12),BS_Hist_TA!O23,IF(O$12=0,0,BS_Hist_TA!O23))</f>
        <v>0</v>
      </c>
      <c r="P23" s="219">
        <f>IF(ISBLANK(P$12),BS_Hist_TA!P23,IF(P$12=0,0,BS_Hist_TA!P23))</f>
        <v>0</v>
      </c>
      <c r="Q23" s="219">
        <f>IF(ISBLANK(Q$12),BS_Hist_TA!Q23,IF(Q$12=0,0,BS_Hist_TA!Q23))</f>
        <v>0</v>
      </c>
    </row>
    <row r="24" spans="3:17" s="24" customFormat="1">
      <c r="D24" s="185"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c r="D25" s="179" t="str">
        <f>BS_Hist_TA!D25</f>
        <v>Total Current Assets</v>
      </c>
      <c r="I25" s="225">
        <f>I22+SUM(I23:I24)</f>
        <v>18.273972602739725</v>
      </c>
      <c r="J25" s="225">
        <f>J22+SUM(J23:J24)</f>
        <v>20.773972602739725</v>
      </c>
      <c r="K25" s="225">
        <f t="shared" ref="K25:Q25" si="16">K22+SUM(K23:K24)</f>
        <v>26.679158818493185</v>
      </c>
      <c r="L25" s="225">
        <f t="shared" si="16"/>
        <v>40.39990838602489</v>
      </c>
      <c r="M25" s="225">
        <f t="shared" si="16"/>
        <v>0</v>
      </c>
      <c r="N25" s="225">
        <f t="shared" si="16"/>
        <v>0</v>
      </c>
      <c r="O25" s="225">
        <f t="shared" si="16"/>
        <v>0</v>
      </c>
      <c r="P25" s="225">
        <f t="shared" si="16"/>
        <v>0</v>
      </c>
      <c r="Q25" s="225">
        <f t="shared" si="16"/>
        <v>0</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185" t="str">
        <f>BS_Hist_TA!D29</f>
        <v>Assets</v>
      </c>
      <c r="I29" s="219">
        <f>IF(ISBLANK(I$12),BS_Hist_TA!I29,IF(I$12=0,0,BS_Hist_TA!I29))</f>
        <v>146.5</v>
      </c>
      <c r="J29" s="219">
        <f>IF(ISBLANK(J$12),BS_Hist_TA!J29,IF(J$12=0,0,BS_Hist_TA!J29))</f>
        <v>146.5</v>
      </c>
      <c r="K29" s="219">
        <f>IF(ISBLANK(K$12),BS_Hist_TA!K29,IF(K$12=0,0,BS_Hist_TA!K29))</f>
        <v>148.03749999999999</v>
      </c>
      <c r="L29" s="219">
        <f>IF(ISBLANK(L$12),BS_Hist_TA!L29,IF(L$12=0,0,BS_Hist_TA!L29))</f>
        <v>149.6134375</v>
      </c>
      <c r="M29" s="219">
        <f>IF(ISBLANK(M$12),BS_Hist_TA!M29,IF(M$12=0,0,BS_Hist_TA!M29))</f>
        <v>0</v>
      </c>
      <c r="N29" s="219">
        <f>IF(ISBLANK(N$12),BS_Hist_TA!N29,IF(N$12=0,0,BS_Hist_TA!N29))</f>
        <v>0</v>
      </c>
      <c r="O29" s="219">
        <f>IF(ISBLANK(O$12),BS_Hist_TA!O29,IF(O$12=0,0,BS_Hist_TA!O29))</f>
        <v>0</v>
      </c>
      <c r="P29" s="219">
        <f>IF(ISBLANK(P$12),BS_Hist_TA!P29,IF(P$12=0,0,BS_Hist_TA!P29))</f>
        <v>0</v>
      </c>
      <c r="Q29" s="219">
        <f>IF(ISBLANK(Q$12),BS_Hist_TA!Q29,IF(Q$12=0,0,BS_Hist_TA!Q29))</f>
        <v>0</v>
      </c>
    </row>
    <row r="30" spans="3:17" s="24" customFormat="1">
      <c r="D30" s="185" t="str">
        <f>BS_Hist_TA!D30</f>
        <v>Intangibles</v>
      </c>
      <c r="I30" s="219">
        <f>IF(ISBLANK(I$12),BS_Hist_TA!I30,IF(I$12=0,0,BS_Hist_TA!I30))</f>
        <v>13.375</v>
      </c>
      <c r="J30" s="219">
        <f>IF(ISBLANK(J$12),BS_Hist_TA!J30,IF(J$12=0,0,BS_Hist_TA!J30))</f>
        <v>13.375</v>
      </c>
      <c r="K30" s="219">
        <f>IF(ISBLANK(K$12),BS_Hist_TA!K30,IF(K$12=0,0,BS_Hist_TA!K30))</f>
        <v>15.296875</v>
      </c>
      <c r="L30" s="219">
        <f>IF(ISBLANK(L$12),BS_Hist_TA!L30,IF(L$12=0,0,BS_Hist_TA!L30))</f>
        <v>17.266796874999997</v>
      </c>
      <c r="M30" s="219">
        <f>IF(ISBLANK(M$12),BS_Hist_TA!M30,IF(M$12=0,0,BS_Hist_TA!M30))</f>
        <v>0</v>
      </c>
      <c r="N30" s="219">
        <f>IF(ISBLANK(N$12),BS_Hist_TA!N30,IF(N$12=0,0,BS_Hist_TA!N30))</f>
        <v>0</v>
      </c>
      <c r="O30" s="219">
        <f>IF(ISBLANK(O$12),BS_Hist_TA!O30,IF(O$12=0,0,BS_Hist_TA!O30))</f>
        <v>0</v>
      </c>
      <c r="P30" s="219">
        <f>IF(ISBLANK(P$12),BS_Hist_TA!P30,IF(P$12=0,0,BS_Hist_TA!P30))</f>
        <v>0</v>
      </c>
      <c r="Q30" s="219">
        <f>IF(ISBLANK(Q$12),BS_Hist_TA!Q30,IF(Q$12=0,0,BS_Hist_TA!Q30))</f>
        <v>0</v>
      </c>
    </row>
    <row r="31" spans="3:17" s="24" customFormat="1">
      <c r="D31" s="185" t="str">
        <f>BS_Hist_TA!D31</f>
        <v>Deferred Tax Assets</v>
      </c>
      <c r="I31" s="219">
        <f>IF(ISBLANK(I$12),BS_Hist_TA!I31,IF(I$12=0,0,BS_Hist_TA!I31))</f>
        <v>0</v>
      </c>
      <c r="J31" s="219">
        <f>IF(ISBLANK(J$12),BS_Hist_TA!J31,IF(J$12=0,0,BS_Hist_TA!J31))</f>
        <v>0</v>
      </c>
      <c r="K31" s="219">
        <f>IF(ISBLANK(K$12),BS_Hist_TA!K31,IF(K$12=0,0,BS_Hist_TA!K31))</f>
        <v>0</v>
      </c>
      <c r="L31" s="219">
        <f>IF(ISBLANK(L$12),BS_Hist_TA!L31,IF(L$12=0,0,BS_Hist_TA!L31))</f>
        <v>0</v>
      </c>
      <c r="M31" s="219">
        <f>IF(ISBLANK(M$12),BS_Hist_TA!M31,IF(M$12=0,0,BS_Hist_TA!M31))</f>
        <v>0</v>
      </c>
      <c r="N31" s="219">
        <f>IF(ISBLANK(N$12),BS_Hist_TA!N31,IF(N$12=0,0,BS_Hist_TA!N31))</f>
        <v>0</v>
      </c>
      <c r="O31" s="219">
        <f>IF(ISBLANK(O$12),BS_Hist_TA!O31,IF(O$12=0,0,BS_Hist_TA!O31))</f>
        <v>0</v>
      </c>
      <c r="P31" s="219">
        <f>IF(ISBLANK(P$12),BS_Hist_TA!P31,IF(P$12=0,0,BS_Hist_TA!P31))</f>
        <v>0</v>
      </c>
      <c r="Q31" s="219">
        <f>IF(ISBLANK(Q$12),BS_Hist_TA!Q31,IF(Q$12=0,0,BS_Hist_TA!Q31))</f>
        <v>0</v>
      </c>
    </row>
    <row r="32" spans="3:17" s="24" customFormat="1">
      <c r="D32" s="185"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c r="D33" s="179" t="str">
        <f>BS_Hist_TA!D33</f>
        <v>Total Non-Current Assets</v>
      </c>
      <c r="I33" s="225">
        <f>SUM(I29:I32)</f>
        <v>163.875</v>
      </c>
      <c r="J33" s="225">
        <f>SUM(J29:J32)</f>
        <v>163.875</v>
      </c>
      <c r="K33" s="225">
        <f t="shared" ref="K33:Q33" si="17">SUM(K29:K32)</f>
        <v>168.33437499999999</v>
      </c>
      <c r="L33" s="225">
        <f t="shared" si="17"/>
        <v>172.88023437499999</v>
      </c>
      <c r="M33" s="225">
        <f t="shared" si="17"/>
        <v>0</v>
      </c>
      <c r="N33" s="225">
        <f t="shared" si="17"/>
        <v>0</v>
      </c>
      <c r="O33" s="225">
        <f t="shared" si="17"/>
        <v>0</v>
      </c>
      <c r="P33" s="225">
        <f t="shared" si="17"/>
        <v>0</v>
      </c>
      <c r="Q33" s="225">
        <f t="shared" si="17"/>
        <v>0</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8">I25+I33</f>
        <v>182.14897260273972</v>
      </c>
      <c r="J35" s="211">
        <f t="shared" si="18"/>
        <v>184.64897260273972</v>
      </c>
      <c r="K35" s="211">
        <f t="shared" si="18"/>
        <v>195.01353381849319</v>
      </c>
      <c r="L35" s="211">
        <f t="shared" si="18"/>
        <v>213.28014276102488</v>
      </c>
      <c r="M35" s="211">
        <f t="shared" si="18"/>
        <v>0</v>
      </c>
      <c r="N35" s="211">
        <f t="shared" si="18"/>
        <v>0</v>
      </c>
      <c r="O35" s="211">
        <f t="shared" si="18"/>
        <v>0</v>
      </c>
      <c r="P35" s="211">
        <f t="shared" si="18"/>
        <v>0</v>
      </c>
      <c r="Q35" s="211">
        <f t="shared" si="18"/>
        <v>0</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185" t="str">
        <f>BS_Hist_TA!D39</f>
        <v>Accounts Payable</v>
      </c>
      <c r="I39" s="219">
        <f>IF(ISBLANK(I$12),BS_Hist_TA!I39,IF(I$12=0,0,BS_Hist_TA!I39))</f>
        <v>8.0136986301369859</v>
      </c>
      <c r="J39" s="219">
        <f>IF(ISBLANK(J$12),BS_Hist_TA!J39,IF(J$12=0,0,BS_Hist_TA!J39))</f>
        <v>8.0136986301369859</v>
      </c>
      <c r="K39" s="219">
        <f>IF(ISBLANK(K$12),BS_Hist_TA!K39,IF(K$12=0,0,BS_Hist_TA!K39))</f>
        <v>8.2140410958904102</v>
      </c>
      <c r="L39" s="219">
        <f>IF(ISBLANK(L$12),BS_Hist_TA!L39,IF(L$12=0,0,BS_Hist_TA!L39))</f>
        <v>8.3963883196721305</v>
      </c>
      <c r="M39" s="219">
        <f>IF(ISBLANK(M$12),BS_Hist_TA!M39,IF(M$12=0,0,BS_Hist_TA!M39))</f>
        <v>0</v>
      </c>
      <c r="N39" s="219">
        <f>IF(ISBLANK(N$12),BS_Hist_TA!N39,IF(N$12=0,0,BS_Hist_TA!N39))</f>
        <v>0</v>
      </c>
      <c r="O39" s="219">
        <f>IF(ISBLANK(O$12),BS_Hist_TA!O39,IF(O$12=0,0,BS_Hist_TA!O39))</f>
        <v>0</v>
      </c>
      <c r="P39" s="219">
        <f>IF(ISBLANK(P$12),BS_Hist_TA!P39,IF(P$12=0,0,BS_Hist_TA!P39))</f>
        <v>0</v>
      </c>
      <c r="Q39" s="219">
        <f>IF(ISBLANK(Q$12),BS_Hist_TA!Q39,IF(Q$12=0,0,BS_Hist_TA!Q39))</f>
        <v>0</v>
      </c>
    </row>
    <row r="40" spans="3:17" s="24" customFormat="1">
      <c r="D40" s="185" t="str">
        <f>BS_Hist_TA!D40</f>
        <v>Tax Payable</v>
      </c>
      <c r="I40" s="219">
        <f>IF(ISBLANK(I$12),BS_Hist_TA!I40,IF(I$12=0,0,BS_Hist_TA!I40))</f>
        <v>12.787500000000001</v>
      </c>
      <c r="J40" s="219">
        <f>IF(ISBLANK(J$12),BS_Hist_TA!J40,IF(J$12=0,0,BS_Hist_TA!J40))</f>
        <v>12.787500000000001</v>
      </c>
      <c r="K40" s="219">
        <f>IF(ISBLANK(K$12),BS_Hist_TA!K40,IF(K$12=0,0,BS_Hist_TA!K40))</f>
        <v>13.131562500000003</v>
      </c>
      <c r="L40" s="219">
        <f>IF(ISBLANK(L$12),BS_Hist_TA!L40,IF(L$12=0,0,BS_Hist_TA!L40))</f>
        <v>13.484226562500004</v>
      </c>
      <c r="M40" s="219">
        <f>IF(ISBLANK(M$12),BS_Hist_TA!M40,IF(M$12=0,0,BS_Hist_TA!M40))</f>
        <v>0</v>
      </c>
      <c r="N40" s="219">
        <f>IF(ISBLANK(N$12),BS_Hist_TA!N40,IF(N$12=0,0,BS_Hist_TA!N40))</f>
        <v>0</v>
      </c>
      <c r="O40" s="219">
        <f>IF(ISBLANK(O$12),BS_Hist_TA!O40,IF(O$12=0,0,BS_Hist_TA!O40))</f>
        <v>0</v>
      </c>
      <c r="P40" s="219">
        <f>IF(ISBLANK(P$12),BS_Hist_TA!P40,IF(P$12=0,0,BS_Hist_TA!P40))</f>
        <v>0</v>
      </c>
      <c r="Q40" s="219">
        <f>IF(ISBLANK(Q$12),BS_Hist_TA!Q40,IF(Q$12=0,0,BS_Hist_TA!Q40))</f>
        <v>0</v>
      </c>
    </row>
    <row r="41" spans="3:17" s="24" customFormat="1">
      <c r="D41" s="185" t="str">
        <f>BS_Hist_TA!D41</f>
        <v>Interest Payable</v>
      </c>
      <c r="I41" s="219">
        <f>IF(ISBLANK(I$12),BS_Hist_TA!I41,IF(I$12=0,0,BS_Hist_TA!I41))</f>
        <v>0</v>
      </c>
      <c r="J41" s="219">
        <f>IF(ISBLANK(J$12),BS_Hist_TA!J41,IF(J$12=0,0,BS_Hist_TA!J41))</f>
        <v>0</v>
      </c>
      <c r="K41" s="219">
        <f>IF(ISBLANK(K$12),BS_Hist_TA!K41,IF(K$12=0,0,BS_Hist_TA!K41))</f>
        <v>0</v>
      </c>
      <c r="L41" s="219">
        <f>IF(ISBLANK(L$12),BS_Hist_TA!L41,IF(L$12=0,0,BS_Hist_TA!L41))</f>
        <v>0</v>
      </c>
      <c r="M41" s="219">
        <f>IF(ISBLANK(M$12),BS_Hist_TA!M41,IF(M$12=0,0,BS_Hist_TA!M41))</f>
        <v>0</v>
      </c>
      <c r="N41" s="219">
        <f>IF(ISBLANK(N$12),BS_Hist_TA!N41,IF(N$12=0,0,BS_Hist_TA!N41))</f>
        <v>0</v>
      </c>
      <c r="O41" s="219">
        <f>IF(ISBLANK(O$12),BS_Hist_TA!O41,IF(O$12=0,0,BS_Hist_TA!O41))</f>
        <v>0</v>
      </c>
      <c r="P41" s="219">
        <f>IF(ISBLANK(P$12),BS_Hist_TA!P41,IF(P$12=0,0,BS_Hist_TA!P41))</f>
        <v>0</v>
      </c>
      <c r="Q41" s="219">
        <f>IF(ISBLANK(Q$12),BS_Hist_TA!Q41,IF(Q$12=0,0,BS_Hist_TA!Q41))</f>
        <v>0</v>
      </c>
    </row>
    <row r="42" spans="3:17" s="24" customFormat="1">
      <c r="D42" s="185" t="str">
        <f>BS_Hist_TA!D42</f>
        <v>Ordinary Equity Dividends Payable</v>
      </c>
      <c r="I42" s="219">
        <f>IF(ISBLANK(I$12),BS_Hist_TA!I42,IF(I$12=0,0,BS_Hist_TA!I42))</f>
        <v>0</v>
      </c>
      <c r="J42" s="219">
        <f>IF(ISBLANK(J$12),BS_Hist_TA!J42,IF(J$12=0,0,BS_Hist_TA!J42))</f>
        <v>0</v>
      </c>
      <c r="K42" s="219">
        <f>IF(ISBLANK(K$12),BS_Hist_TA!K42,IF(K$12=0,0,BS_Hist_TA!K42))</f>
        <v>0</v>
      </c>
      <c r="L42" s="219">
        <f>IF(ISBLANK(L$12),BS_Hist_TA!L42,IF(L$12=0,0,BS_Hist_TA!L42))</f>
        <v>0</v>
      </c>
      <c r="M42" s="219">
        <f>IF(ISBLANK(M$12),BS_Hist_TA!M42,IF(M$12=0,0,BS_Hist_TA!M42))</f>
        <v>0</v>
      </c>
      <c r="N42" s="219">
        <f>IF(ISBLANK(N$12),BS_Hist_TA!N42,IF(N$12=0,0,BS_Hist_TA!N42))</f>
        <v>0</v>
      </c>
      <c r="O42" s="219">
        <f>IF(ISBLANK(O$12),BS_Hist_TA!O42,IF(O$12=0,0,BS_Hist_TA!O42))</f>
        <v>0</v>
      </c>
      <c r="P42" s="219">
        <f>IF(ISBLANK(P$12),BS_Hist_TA!P42,IF(P$12=0,0,BS_Hist_TA!P42))</f>
        <v>0</v>
      </c>
      <c r="Q42" s="219">
        <f>IF(ISBLANK(Q$12),BS_Hist_TA!Q42,IF(Q$12=0,0,BS_Hist_TA!Q42))</f>
        <v>0</v>
      </c>
    </row>
    <row r="43" spans="3:17" s="24" customFormat="1">
      <c r="D43" s="185"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c r="D44" s="179" t="str">
        <f>BS_Hist_TA!D44</f>
        <v>Total Current Liabilities</v>
      </c>
      <c r="I44" s="225">
        <f>SUM(I39:I43)</f>
        <v>25.801198630136987</v>
      </c>
      <c r="J44" s="225">
        <f>SUM(J39:J43)</f>
        <v>25.801198630136987</v>
      </c>
      <c r="K44" s="225">
        <f t="shared" ref="K44:Q44" si="19">SUM(K39:K43)</f>
        <v>27.345603595890413</v>
      </c>
      <c r="L44" s="225">
        <f t="shared" si="19"/>
        <v>28.880614882172132</v>
      </c>
      <c r="M44" s="225">
        <f t="shared" si="19"/>
        <v>0</v>
      </c>
      <c r="N44" s="225">
        <f t="shared" si="19"/>
        <v>0</v>
      </c>
      <c r="O44" s="225">
        <f t="shared" si="19"/>
        <v>0</v>
      </c>
      <c r="P44" s="225">
        <f t="shared" si="19"/>
        <v>0</v>
      </c>
      <c r="Q44" s="225">
        <f t="shared" si="19"/>
        <v>0</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185" t="str">
        <f>BS_Hist_TA!D48</f>
        <v>Debt</v>
      </c>
      <c r="I48" s="219">
        <f>IF(ISBLANK(I$12),BS_Hist_TA!I48,IF(I$12=0,0,BS_Hist_TA!I48))</f>
        <v>50</v>
      </c>
      <c r="J48" s="219">
        <f>IF(ISBLANK(J$12),BS_Hist_TA!J48,IF(J$12=0,0,BS_Hist_TA!J48))</f>
        <v>50</v>
      </c>
      <c r="K48" s="219">
        <f>IF(ISBLANK(K$12),BS_Hist_TA!K48,IF(K$12=0,0,BS_Hist_TA!K48))</f>
        <v>50</v>
      </c>
      <c r="L48" s="219">
        <f>IF(ISBLANK(L$12),BS_Hist_TA!L48,IF(L$12=0,0,BS_Hist_TA!L48))</f>
        <v>50</v>
      </c>
      <c r="M48" s="219">
        <f>IF(ISBLANK(M$12),BS_Hist_TA!M48,IF(M$12=0,0,BS_Hist_TA!M48))</f>
        <v>0</v>
      </c>
      <c r="N48" s="219">
        <f>IF(ISBLANK(N$12),BS_Hist_TA!N48,IF(N$12=0,0,BS_Hist_TA!N48))</f>
        <v>0</v>
      </c>
      <c r="O48" s="219">
        <f>IF(ISBLANK(O$12),BS_Hist_TA!O48,IF(O$12=0,0,BS_Hist_TA!O48))</f>
        <v>0</v>
      </c>
      <c r="P48" s="219">
        <f>IF(ISBLANK(P$12),BS_Hist_TA!P48,IF(P$12=0,0,BS_Hist_TA!P48))</f>
        <v>0</v>
      </c>
      <c r="Q48" s="219">
        <f>IF(ISBLANK(Q$12),BS_Hist_TA!Q48,IF(Q$12=0,0,BS_Hist_TA!Q48))</f>
        <v>0</v>
      </c>
    </row>
    <row r="49" spans="3:17" s="24" customFormat="1">
      <c r="D49" s="185" t="str">
        <f>BS_Hist_TA!D49</f>
        <v>Deferred Tax Liabilities</v>
      </c>
      <c r="I49" s="219">
        <f>IF(ISBLANK(I$12),BS_Hist_TA!I49,IF(I$12=0,0,BS_Hist_TA!I49))</f>
        <v>0</v>
      </c>
      <c r="J49" s="219">
        <f>IF(ISBLANK(J$12),BS_Hist_TA!J49,IF(J$12=0,0,BS_Hist_TA!J49))</f>
        <v>0</v>
      </c>
      <c r="K49" s="219">
        <f>IF(ISBLANK(K$12),BS_Hist_TA!K49,IF(K$12=0,0,BS_Hist_TA!K49))</f>
        <v>0</v>
      </c>
      <c r="L49" s="219">
        <f>IF(ISBLANK(L$12),BS_Hist_TA!L49,IF(L$12=0,0,BS_Hist_TA!L49))</f>
        <v>0</v>
      </c>
      <c r="M49" s="219">
        <f>IF(ISBLANK(M$12),BS_Hist_TA!M49,IF(M$12=0,0,BS_Hist_TA!M49))</f>
        <v>0</v>
      </c>
      <c r="N49" s="219">
        <f>IF(ISBLANK(N$12),BS_Hist_TA!N49,IF(N$12=0,0,BS_Hist_TA!N49))</f>
        <v>0</v>
      </c>
      <c r="O49" s="219">
        <f>IF(ISBLANK(O$12),BS_Hist_TA!O49,IF(O$12=0,0,BS_Hist_TA!O49))</f>
        <v>0</v>
      </c>
      <c r="P49" s="219">
        <f>IF(ISBLANK(P$12),BS_Hist_TA!P49,IF(P$12=0,0,BS_Hist_TA!P49))</f>
        <v>0</v>
      </c>
      <c r="Q49" s="219">
        <f>IF(ISBLANK(Q$12),BS_Hist_TA!Q49,IF(Q$12=0,0,BS_Hist_TA!Q49))</f>
        <v>0</v>
      </c>
    </row>
    <row r="50" spans="3:17" s="24" customFormat="1">
      <c r="D50" s="185"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c r="D51" s="179" t="str">
        <f>BS_Hist_TA!D51</f>
        <v>Total Non-Current Liabilities</v>
      </c>
      <c r="I51" s="225">
        <f>SUM(I48:I50)</f>
        <v>56</v>
      </c>
      <c r="J51" s="225">
        <f>SUM(J48:J50)</f>
        <v>56</v>
      </c>
      <c r="K51" s="225">
        <f t="shared" ref="K51:Q51" si="20">SUM(K48:K50)</f>
        <v>57</v>
      </c>
      <c r="L51" s="225">
        <f t="shared" si="20"/>
        <v>58</v>
      </c>
      <c r="M51" s="225">
        <f t="shared" si="20"/>
        <v>0</v>
      </c>
      <c r="N51" s="225">
        <f t="shared" si="20"/>
        <v>0</v>
      </c>
      <c r="O51" s="225">
        <f t="shared" si="20"/>
        <v>0</v>
      </c>
      <c r="P51" s="225">
        <f t="shared" si="20"/>
        <v>0</v>
      </c>
      <c r="Q51" s="225">
        <f t="shared" si="20"/>
        <v>0</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21">I44+I51</f>
        <v>81.80119863013698</v>
      </c>
      <c r="J53" s="211">
        <f t="shared" si="21"/>
        <v>81.80119863013698</v>
      </c>
      <c r="K53" s="211">
        <f t="shared" si="21"/>
        <v>84.34560359589041</v>
      </c>
      <c r="L53" s="211">
        <f t="shared" si="21"/>
        <v>86.880614882172125</v>
      </c>
      <c r="M53" s="211">
        <f t="shared" si="21"/>
        <v>0</v>
      </c>
      <c r="N53" s="211">
        <f t="shared" si="21"/>
        <v>0</v>
      </c>
      <c r="O53" s="211">
        <f t="shared" si="21"/>
        <v>0</v>
      </c>
      <c r="P53" s="211">
        <f t="shared" si="21"/>
        <v>0</v>
      </c>
      <c r="Q53" s="211">
        <f t="shared" si="21"/>
        <v>0</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22">I35-I53</f>
        <v>100.34777397260274</v>
      </c>
      <c r="J55" s="213">
        <f t="shared" si="22"/>
        <v>102.84777397260274</v>
      </c>
      <c r="K55" s="213">
        <f t="shared" si="22"/>
        <v>110.66793022260278</v>
      </c>
      <c r="L55" s="213">
        <f t="shared" si="22"/>
        <v>126.39952787885275</v>
      </c>
      <c r="M55" s="213">
        <f t="shared" si="22"/>
        <v>0</v>
      </c>
      <c r="N55" s="213">
        <f t="shared" si="22"/>
        <v>0</v>
      </c>
      <c r="O55" s="213">
        <f t="shared" si="22"/>
        <v>0</v>
      </c>
      <c r="P55" s="213">
        <f t="shared" si="22"/>
        <v>0</v>
      </c>
      <c r="Q55" s="213">
        <f t="shared" si="22"/>
        <v>0</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185" t="str">
        <f>BS_Hist_TA!D59</f>
        <v>Ordinary Equity</v>
      </c>
      <c r="I59" s="219">
        <f>IF(ISBLANK(I$12),BS_Hist_TA!I59,IF(I$12=0,0,BS_Hist_TA!I59))</f>
        <v>75</v>
      </c>
      <c r="J59" s="219">
        <f>IF(ISBLANK(J$12),BS_Hist_TA!J59,IF(J$12=0,0,BS_Hist_TA!J59))</f>
        <v>75</v>
      </c>
      <c r="K59" s="219">
        <f>IF(ISBLANK(K$12),BS_Hist_TA!K59,IF(K$12=0,0,BS_Hist_TA!K59))</f>
        <v>75</v>
      </c>
      <c r="L59" s="219">
        <f>IF(ISBLANK(L$12),BS_Hist_TA!L59,IF(L$12=0,0,BS_Hist_TA!L59))</f>
        <v>75</v>
      </c>
      <c r="M59" s="219">
        <f>IF(ISBLANK(M$12),BS_Hist_TA!M59,IF(M$12=0,0,BS_Hist_TA!M59))</f>
        <v>0</v>
      </c>
      <c r="N59" s="219">
        <f>IF(ISBLANK(N$12),BS_Hist_TA!N59,IF(N$12=0,0,BS_Hist_TA!N59))</f>
        <v>0</v>
      </c>
      <c r="O59" s="219">
        <f>IF(ISBLANK(O$12),BS_Hist_TA!O59,IF(O$12=0,0,BS_Hist_TA!O59))</f>
        <v>0</v>
      </c>
      <c r="P59" s="219">
        <f>IF(ISBLANK(P$12),BS_Hist_TA!P59,IF(P$12=0,0,BS_Hist_TA!P59))</f>
        <v>0</v>
      </c>
      <c r="Q59" s="219">
        <f>IF(ISBLANK(Q$12),BS_Hist_TA!Q59,IF(Q$12=0,0,BS_Hist_TA!Q59))</f>
        <v>0</v>
      </c>
    </row>
    <row r="60" spans="3:17" s="24" customFormat="1">
      <c r="D60" s="203" t="str">
        <f>BS_Hist_TA!D60</f>
        <v>Other Equity</v>
      </c>
      <c r="I60" s="219">
        <f>IF(ISBLANK(I$12),BS_Hist_TA!I60,IF(I$12=0,0,BS_Hist_TA!I60))</f>
        <v>5</v>
      </c>
      <c r="J60" s="219">
        <f>IF(ISBLANK(J$12),BS_Hist_TA!J60,IF(J$12=0,0,BS_Hist_TA!J60))</f>
        <v>5</v>
      </c>
      <c r="K60" s="219">
        <f>IF(ISBLANK(K$12),BS_Hist_TA!K60,IF(K$12=0,0,BS_Hist_TA!K60))</f>
        <v>5</v>
      </c>
      <c r="L60" s="219">
        <f>IF(ISBLANK(L$12),BS_Hist_TA!L60,IF(L$12=0,0,BS_Hist_TA!L60))</f>
        <v>5</v>
      </c>
      <c r="M60" s="219">
        <f>IF(ISBLANK(M$12),BS_Hist_TA!M60,IF(M$12=0,0,BS_Hist_TA!M60))</f>
        <v>0</v>
      </c>
      <c r="N60" s="219">
        <f>IF(ISBLANK(N$12),BS_Hist_TA!N60,IF(N$12=0,0,BS_Hist_TA!N60))</f>
        <v>0</v>
      </c>
      <c r="O60" s="219">
        <f>IF(ISBLANK(O$12),BS_Hist_TA!O60,IF(O$12=0,0,BS_Hist_TA!O60))</f>
        <v>0</v>
      </c>
      <c r="P60" s="219">
        <f>IF(ISBLANK(P$12),BS_Hist_TA!P60,IF(P$12=0,0,BS_Hist_TA!P60))</f>
        <v>0</v>
      </c>
      <c r="Q60" s="219">
        <f>IF(ISBLANK(Q$12),BS_Hist_TA!Q60,IF(Q$12=0,0,BS_Hist_TA!Q60))</f>
        <v>0</v>
      </c>
    </row>
    <row r="61" spans="3:17" s="24" customFormat="1" hidden="1" outlineLevel="2">
      <c r="D61" s="203"/>
      <c r="E61" s="202" t="s">
        <v>277</v>
      </c>
      <c r="I61" s="219"/>
      <c r="J61" s="219">
        <f>IF(J$12=0,0,I64)</f>
        <v>20.347773972602738</v>
      </c>
      <c r="K61" s="219">
        <f t="shared" ref="K61" si="23">IF(K$12=0,0,J64)</f>
        <v>22.847773972602738</v>
      </c>
      <c r="L61" s="219">
        <f t="shared" ref="L61" si="24">IF(L$12=0,0,K64)</f>
        <v>30.667930222602777</v>
      </c>
      <c r="M61" s="219">
        <f t="shared" ref="M61" si="25">IF(M$12=0,0,L64)</f>
        <v>0</v>
      </c>
      <c r="N61" s="219">
        <f t="shared" ref="N61" si="26">IF(N$12=0,0,M64)</f>
        <v>0</v>
      </c>
      <c r="O61" s="219">
        <f t="shared" ref="O61" si="27">IF(O$12=0,0,N64)</f>
        <v>0</v>
      </c>
      <c r="P61" s="219">
        <f t="shared" ref="P61" si="28">IF(P$12=0,0,O64)</f>
        <v>0</v>
      </c>
      <c r="Q61" s="219">
        <f t="shared" ref="Q61" si="29">IF(Q$12=0,0,P64)</f>
        <v>0</v>
      </c>
    </row>
    <row r="62" spans="3:17" s="24" customFormat="1" hidden="1" outlineLevel="2">
      <c r="D62" s="203"/>
      <c r="E62" s="202" t="s">
        <v>559</v>
      </c>
      <c r="I62" s="219"/>
      <c r="J62" s="219">
        <f>IF(ISBLANK(J$12),BS_Hist_TA!J61,IF(J$12=0,0,BS_Hist_TA!J61))-J61</f>
        <v>2.5</v>
      </c>
      <c r="K62" s="219">
        <f>IF(ISBLANK(K$12),BS_Hist_TA!K61,IF(K$12=0,0,BS_Hist_TA!K61))-K61</f>
        <v>7.8201562500000392</v>
      </c>
      <c r="L62" s="219">
        <f>IF(ISBLANK(L$12),BS_Hist_TA!L61,IF(L$12=0,0,BS_Hist_TA!L61))-L61</f>
        <v>15.731597656249974</v>
      </c>
      <c r="M62" s="219">
        <f>IF(ISBLANK(M$12),BS_Hist_TA!M61,IF(M$12=0,0,BS_Hist_TA!M61))-M61</f>
        <v>0</v>
      </c>
      <c r="N62" s="219">
        <f>IF(ISBLANK(N$12),BS_Hist_TA!N61,IF(N$12=0,0,BS_Hist_TA!N61))-N61</f>
        <v>0</v>
      </c>
      <c r="O62" s="219">
        <f>IF(ISBLANK(O$12),BS_Hist_TA!O61,IF(O$12=0,0,BS_Hist_TA!O61))-O61</f>
        <v>0</v>
      </c>
      <c r="P62" s="219">
        <f>IF(ISBLANK(P$12),BS_Hist_TA!P61,IF(P$12=0,0,BS_Hist_TA!P61))-P61</f>
        <v>0</v>
      </c>
      <c r="Q62" s="219">
        <f>IF(ISBLANK(Q$12),BS_Hist_TA!Q61,IF(Q$12=0,0,BS_Hist_TA!Q61))-Q61</f>
        <v>0</v>
      </c>
    </row>
    <row r="63" spans="3:17" s="24" customFormat="1" hidden="1" outlineLevel="2">
      <c r="E63" s="203" t="str">
        <f>BS_Hist_TA!E62</f>
        <v>Retained Profits - Balancing Item</v>
      </c>
      <c r="I63" s="219"/>
      <c r="J63" s="219">
        <f>IF(ISBLANK(J$12),BS_Hist_TA!J62,IF(J$12=0,0,BS_Hist_TA!J62))</f>
        <v>0</v>
      </c>
      <c r="K63" s="219">
        <f>IF(ISBLANK(K$12),BS_Hist_TA!K62,IF(K$12=0,0,BS_Hist_TA!K62))</f>
        <v>0</v>
      </c>
      <c r="L63" s="219">
        <f>IF(ISBLANK(L$12),BS_Hist_TA!L62,IF(L$12=0,0,BS_Hist_TA!L62))</f>
        <v>0</v>
      </c>
      <c r="M63" s="219">
        <f>IF(ISBLANK(M$12),BS_Hist_TA!M62,IF(M$12=0,0,BS_Hist_TA!M62))</f>
        <v>0</v>
      </c>
      <c r="N63" s="219">
        <f>IF(ISBLANK(N$12),BS_Hist_TA!N62,IF(N$12=0,0,BS_Hist_TA!N62))</f>
        <v>0</v>
      </c>
      <c r="O63" s="219">
        <f>IF(ISBLANK(O$12),BS_Hist_TA!O62,IF(O$12=0,0,BS_Hist_TA!O62))</f>
        <v>0</v>
      </c>
      <c r="P63" s="219">
        <f>IF(ISBLANK(P$12),BS_Hist_TA!P62,IF(P$12=0,0,BS_Hist_TA!P62))</f>
        <v>0</v>
      </c>
      <c r="Q63" s="219">
        <f>IF(ISBLANK(Q$12),BS_Hist_TA!Q62,IF(Q$12=0,0,BS_Hist_TA!Q62))</f>
        <v>0</v>
      </c>
    </row>
    <row r="64" spans="3:17" s="24" customFormat="1" collapsed="1">
      <c r="D64" s="185" t="str">
        <f>BS_Hist_TA!D63</f>
        <v>Retained Profits</v>
      </c>
      <c r="I64" s="212">
        <f>IF(ISBLANK(I$12),BS_Hist_TA!$I$63,SUM(I61:I63))</f>
        <v>20.347773972602738</v>
      </c>
      <c r="J64" s="212">
        <f>IF(ISBLANK(J$12),BS_Hist_TA!$I$63,SUM(J61:J63))</f>
        <v>22.847773972602738</v>
      </c>
      <c r="K64" s="212">
        <f>IF(ISBLANK(K$12),BS_Hist_TA!$I$63,SUM(K61:K63))</f>
        <v>30.667930222602777</v>
      </c>
      <c r="L64" s="212">
        <f>IF(ISBLANK(L$12),BS_Hist_TA!$I$63,SUM(L61:L63))</f>
        <v>46.399527878852751</v>
      </c>
      <c r="M64" s="212">
        <f>IF(ISBLANK(M$12),BS_Hist_TA!$I$63,SUM(M61:M63))</f>
        <v>0</v>
      </c>
      <c r="N64" s="212">
        <f>IF(ISBLANK(N$12),BS_Hist_TA!$I$63,SUM(N61:N63))</f>
        <v>0</v>
      </c>
      <c r="O64" s="212">
        <f>IF(ISBLANK(O$12),BS_Hist_TA!$I$63,SUM(O61:O63))</f>
        <v>0</v>
      </c>
      <c r="P64" s="212">
        <f>IF(ISBLANK(P$12),BS_Hist_TA!$I$63,SUM(P61:P63))</f>
        <v>0</v>
      </c>
      <c r="Q64" s="212">
        <f>IF(ISBLANK(Q$12),BS_Hist_TA!$I$63,SUM(Q61:Q63))</f>
        <v>0</v>
      </c>
    </row>
    <row r="65" spans="3:17" s="24" customFormat="1">
      <c r="I65" s="143"/>
      <c r="J65" s="143"/>
      <c r="K65" s="143"/>
      <c r="L65" s="143"/>
      <c r="M65" s="143"/>
      <c r="N65" s="143"/>
      <c r="O65" s="143"/>
      <c r="P65" s="143"/>
      <c r="Q65" s="143"/>
    </row>
    <row r="66" spans="3:17" s="24" customFormat="1" ht="12" thickBot="1">
      <c r="C66" s="216" t="str">
        <f>BS_Hist_TA!C65</f>
        <v>Total Equity</v>
      </c>
      <c r="I66" s="213">
        <f t="shared" ref="I66:Q66" si="30">I59+I60+I64</f>
        <v>100.34777397260274</v>
      </c>
      <c r="J66" s="213">
        <f t="shared" si="30"/>
        <v>102.84777397260274</v>
      </c>
      <c r="K66" s="213">
        <f t="shared" si="30"/>
        <v>110.66793022260278</v>
      </c>
      <c r="L66" s="213">
        <f t="shared" si="30"/>
        <v>126.39952787885275</v>
      </c>
      <c r="M66" s="213">
        <f t="shared" si="30"/>
        <v>0</v>
      </c>
      <c r="N66" s="213">
        <f t="shared" si="30"/>
        <v>0</v>
      </c>
      <c r="O66" s="213">
        <f t="shared" si="30"/>
        <v>0</v>
      </c>
      <c r="P66" s="213">
        <f t="shared" si="30"/>
        <v>0</v>
      </c>
      <c r="Q66" s="213">
        <f t="shared" si="30"/>
        <v>0</v>
      </c>
    </row>
    <row r="67" spans="3:17" s="24" customFormat="1" ht="12" thickTop="1">
      <c r="C67" s="244"/>
      <c r="I67" s="225"/>
      <c r="J67" s="225"/>
      <c r="K67" s="225"/>
      <c r="L67" s="225"/>
      <c r="M67" s="225"/>
      <c r="N67" s="225"/>
      <c r="O67" s="225"/>
      <c r="P67" s="225"/>
      <c r="Q67" s="225"/>
    </row>
    <row r="68" spans="3:17" s="24" customFormat="1" hidden="1" outlineLevel="2">
      <c r="D68" s="228" t="str">
        <f>BS_Hist_TA!D67</f>
        <v>Error Values</v>
      </c>
      <c r="I68" s="221">
        <f>IF(ISERROR(I55-I66),1,0)</f>
        <v>0</v>
      </c>
      <c r="J68" s="221">
        <f t="shared" ref="J68:Q68" si="31">IF(ISERROR(J55-J66),1,0)</f>
        <v>0</v>
      </c>
      <c r="K68" s="221">
        <f t="shared" si="31"/>
        <v>0</v>
      </c>
      <c r="L68" s="221">
        <f t="shared" si="31"/>
        <v>0</v>
      </c>
      <c r="M68" s="221">
        <f t="shared" si="31"/>
        <v>0</v>
      </c>
      <c r="N68" s="221">
        <f t="shared" si="31"/>
        <v>0</v>
      </c>
      <c r="O68" s="221">
        <f t="shared" si="31"/>
        <v>0</v>
      </c>
      <c r="P68" s="221">
        <f t="shared" si="31"/>
        <v>0</v>
      </c>
      <c r="Q68" s="221">
        <f t="shared" si="31"/>
        <v>0</v>
      </c>
    </row>
    <row r="69" spans="3:17" s="24" customFormat="1" hidden="1" outlineLevel="2">
      <c r="D69" s="228" t="str">
        <f>BS_Hist_TA!D68</f>
        <v>Balancing Item Used</v>
      </c>
      <c r="I69" s="222">
        <f>IF(I68&lt;&gt;0,0,(ROUND(I55-I66,5)&lt;&gt;0)*1)</f>
        <v>0</v>
      </c>
      <c r="J69" s="222">
        <f t="shared" ref="J69:Q69" si="32">IF(J68&lt;&gt;0,0,(ROUND(J55-J66,5)&lt;&gt;0)*1)</f>
        <v>0</v>
      </c>
      <c r="K69" s="222">
        <f t="shared" si="32"/>
        <v>0</v>
      </c>
      <c r="L69" s="222">
        <f t="shared" si="32"/>
        <v>0</v>
      </c>
      <c r="M69" s="222">
        <f t="shared" si="32"/>
        <v>0</v>
      </c>
      <c r="N69" s="222">
        <f t="shared" si="32"/>
        <v>0</v>
      </c>
      <c r="O69" s="222">
        <f t="shared" si="32"/>
        <v>0</v>
      </c>
      <c r="P69" s="222">
        <f t="shared" si="32"/>
        <v>0</v>
      </c>
      <c r="Q69" s="222">
        <f t="shared" si="32"/>
        <v>0</v>
      </c>
    </row>
    <row r="70" spans="3:17" s="24" customFormat="1" collapsed="1">
      <c r="C70" s="228" t="str">
        <f>BS_Hist_TA!C69</f>
        <v>Total Error Check Result</v>
      </c>
      <c r="H70" s="223">
        <f>IF(ISERROR(SUM(I70:Q70)),0,MIN(SUM(I70:Q70),1))</f>
        <v>0</v>
      </c>
      <c r="I70" s="224">
        <f t="shared" ref="I70:Q70" si="33">MIN(SUM(I68:I69),1)</f>
        <v>0</v>
      </c>
      <c r="J70" s="224">
        <f t="shared" si="33"/>
        <v>0</v>
      </c>
      <c r="K70" s="224">
        <f t="shared" si="33"/>
        <v>0</v>
      </c>
      <c r="L70" s="224">
        <f t="shared" si="33"/>
        <v>0</v>
      </c>
      <c r="M70" s="224">
        <f t="shared" si="33"/>
        <v>0</v>
      </c>
      <c r="N70" s="224">
        <f t="shared" si="33"/>
        <v>0</v>
      </c>
      <c r="O70" s="224">
        <f t="shared" si="33"/>
        <v>0</v>
      </c>
      <c r="P70" s="224">
        <f t="shared" si="33"/>
        <v>0</v>
      </c>
      <c r="Q70" s="224">
        <f t="shared" si="33"/>
        <v>0</v>
      </c>
    </row>
    <row r="71" spans="3:17" s="24" customFormat="1" hidden="1" outlineLevel="2">
      <c r="J71" s="220"/>
      <c r="K71" s="220"/>
      <c r="L71" s="220"/>
      <c r="M71" s="220"/>
      <c r="N71" s="220"/>
      <c r="O71" s="220"/>
      <c r="P71" s="220"/>
      <c r="Q71" s="220"/>
    </row>
    <row r="72" spans="3:17" s="24" customFormat="1" hidden="1" outlineLevel="2">
      <c r="D72" s="185" t="str">
        <f>BS_Hist_TA!D71</f>
        <v>Negative Cash</v>
      </c>
      <c r="I72" s="247">
        <f>IF(I$12=0,0,IF(ISERROR(I22),1,IF(ROUND(I22,5)&lt;0,1,0)))</f>
        <v>0</v>
      </c>
      <c r="J72" s="247">
        <f>IF(J$12=0,0,IF(ISERROR(J22),1,IF(ROUND(J22,5)&lt;0,1,0)))</f>
        <v>0</v>
      </c>
      <c r="K72" s="247">
        <f t="shared" ref="K72:Q72" si="34">IF(K$12=0,0,IF(ISERROR(K22),1,IF(ROUND(K22,5)&lt;0,1,0)))</f>
        <v>0</v>
      </c>
      <c r="L72" s="247">
        <f t="shared" si="34"/>
        <v>0</v>
      </c>
      <c r="M72" s="247">
        <f t="shared" si="34"/>
        <v>0</v>
      </c>
      <c r="N72" s="247">
        <f t="shared" si="34"/>
        <v>0</v>
      </c>
      <c r="O72" s="247">
        <f t="shared" si="34"/>
        <v>0</v>
      </c>
      <c r="P72" s="247">
        <f t="shared" si="34"/>
        <v>0</v>
      </c>
      <c r="Q72" s="247">
        <f t="shared" si="34"/>
        <v>0</v>
      </c>
    </row>
    <row r="73" spans="3:17" s="24" customFormat="1" hidden="1" outlineLevel="2">
      <c r="D73" s="185" t="str">
        <f>BS_Hist_TA!D72</f>
        <v>Balancing Item Used</v>
      </c>
      <c r="I73" s="222">
        <f>IF(OR(ISBLANK(I$12),I$12&lt;&gt;0),IF(ISERROR(I63),1,IF(ROUND(I63,5)&lt;&gt;0,1,0)),0)</f>
        <v>0</v>
      </c>
      <c r="J73" s="222">
        <f t="shared" ref="J73:Q73" si="35">IF(OR(ISBLANK(J$12),J$12&lt;&gt;0),IF(ISERROR(J63),1,IF(ROUND(J63,5)&lt;&gt;0,1,0)),0)</f>
        <v>0</v>
      </c>
      <c r="K73" s="222">
        <f t="shared" si="35"/>
        <v>0</v>
      </c>
      <c r="L73" s="222">
        <f t="shared" si="35"/>
        <v>0</v>
      </c>
      <c r="M73" s="222">
        <f t="shared" si="35"/>
        <v>0</v>
      </c>
      <c r="N73" s="222">
        <f t="shared" si="35"/>
        <v>0</v>
      </c>
      <c r="O73" s="222">
        <f t="shared" si="35"/>
        <v>0</v>
      </c>
      <c r="P73" s="222">
        <f t="shared" si="35"/>
        <v>0</v>
      </c>
      <c r="Q73" s="222">
        <f t="shared" si="35"/>
        <v>0</v>
      </c>
    </row>
    <row r="74" spans="3:17" s="24" customFormat="1" collapsed="1">
      <c r="C74" s="185" t="str">
        <f>BS_Hist_TA!C73</f>
        <v>Total Alert Check Result</v>
      </c>
      <c r="H74" s="223">
        <f>IF(ISERROR(SUM(I74:Q74)),0,MIN(SUM(I74:Q74),1))</f>
        <v>0</v>
      </c>
      <c r="I74" s="224">
        <f t="shared" ref="I74:Q74" si="36">MIN(SUM(I72:I73),1)</f>
        <v>0</v>
      </c>
      <c r="J74" s="224">
        <f t="shared" si="36"/>
        <v>0</v>
      </c>
      <c r="K74" s="224">
        <f t="shared" si="36"/>
        <v>0</v>
      </c>
      <c r="L74" s="224">
        <f t="shared" si="36"/>
        <v>0</v>
      </c>
      <c r="M74" s="224">
        <f t="shared" si="36"/>
        <v>0</v>
      </c>
      <c r="N74" s="224">
        <f t="shared" si="36"/>
        <v>0</v>
      </c>
      <c r="O74" s="224">
        <f t="shared" si="36"/>
        <v>0</v>
      </c>
      <c r="P74" s="224">
        <f t="shared" si="36"/>
        <v>0</v>
      </c>
      <c r="Q74" s="224">
        <f t="shared" si="36"/>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I72:Q74">
    <cfRule type="cellIs" dxfId="61" priority="6" stopIfTrue="1" operator="notEqual">
      <formula>0</formula>
    </cfRule>
  </conditionalFormatting>
  <conditionalFormatting sqref="C74">
    <cfRule type="expression" dxfId="60" priority="4" stopIfTrue="1">
      <formula>H74&lt;&gt;0</formula>
    </cfRule>
  </conditionalFormatting>
  <conditionalFormatting sqref="H74">
    <cfRule type="cellIs" dxfId="59" priority="9" stopIfTrue="1" operator="notEqual">
      <formula>0</formula>
    </cfRule>
  </conditionalFormatting>
  <conditionalFormatting sqref="I68:Q70">
    <cfRule type="cellIs" dxfId="58" priority="1" stopIfTrue="1" operator="notEqual">
      <formula>0</formula>
    </cfRule>
  </conditionalFormatting>
  <conditionalFormatting sqref="I20:Q66">
    <cfRule type="expression" dxfId="57"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R6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 min="18" max="18" width="12.83203125" collapsed="1"/>
  </cols>
  <sheetData>
    <row r="1" spans="1:17" ht="18">
      <c r="B1" s="1" t="s">
        <v>538</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CFS_Hist_TA!B16</f>
        <v>Cash Flow Statement</v>
      </c>
    </row>
    <row r="17" spans="3:17" s="24" customFormat="1"/>
    <row r="18" spans="3:17" s="24" customFormat="1" ht="11.25">
      <c r="C18" s="216" t="str">
        <f>CFS_Hist_TA!C18</f>
        <v>Cash Flow from Operating Activities</v>
      </c>
    </row>
    <row r="19" spans="3:17" s="24" customFormat="1"/>
    <row r="20" spans="3:17" s="24" customFormat="1" hidden="1" outlineLevel="2">
      <c r="E20" s="203" t="str">
        <f>CFS_Hist_TA!E20</f>
        <v>Revenue</v>
      </c>
      <c r="J20" s="219">
        <f>IF(J$12=0,0,CFS_Hist_TA!J20)</f>
        <v>125</v>
      </c>
      <c r="K20" s="219">
        <f>IF(K$12=0,0,CFS_Hist_TA!K20)</f>
        <v>128.125</v>
      </c>
      <c r="L20" s="219">
        <f>IF(L$12=0,0,CFS_Hist_TA!L20)</f>
        <v>131.328125</v>
      </c>
      <c r="M20" s="219">
        <f>IF(M$12=0,0,CFS_Hist_TA!M20)</f>
        <v>0</v>
      </c>
      <c r="N20" s="219">
        <f>IF(N$12=0,0,CFS_Hist_TA!N20)</f>
        <v>0</v>
      </c>
      <c r="O20" s="219">
        <f>IF(O$12=0,0,CFS_Hist_TA!O20)</f>
        <v>0</v>
      </c>
      <c r="P20" s="219">
        <f>IF(P$12=0,0,CFS_Hist_TA!P20)</f>
        <v>0</v>
      </c>
      <c r="Q20" s="219">
        <f>IF(Q$12=0,0,CFS_Hist_TA!Q20)</f>
        <v>0</v>
      </c>
    </row>
    <row r="21" spans="3:17" s="24" customFormat="1" hidden="1" outlineLevel="2">
      <c r="E21" s="203"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c r="D22" s="203" t="str">
        <f>CFS_Hist_TA!D22</f>
        <v>Cash Receipts</v>
      </c>
      <c r="J22" s="219">
        <f t="shared" ref="J22" si="8">J20+J21</f>
        <v>135.72602739726028</v>
      </c>
      <c r="K22" s="219">
        <f t="shared" ref="K22:Q22" si="9">K20+K21</f>
        <v>127.86815068493149</v>
      </c>
      <c r="L22" s="219">
        <f t="shared" si="9"/>
        <v>131.09434650797215</v>
      </c>
      <c r="M22" s="219">
        <f t="shared" si="9"/>
        <v>0</v>
      </c>
      <c r="N22" s="219">
        <f t="shared" si="9"/>
        <v>0</v>
      </c>
      <c r="O22" s="219">
        <f t="shared" si="9"/>
        <v>0</v>
      </c>
      <c r="P22" s="219">
        <f t="shared" si="9"/>
        <v>0</v>
      </c>
      <c r="Q22" s="219">
        <f t="shared" si="9"/>
        <v>0</v>
      </c>
    </row>
    <row r="23" spans="3:17" s="24" customFormat="1" hidden="1" outlineLevel="2">
      <c r="D23" s="185"/>
      <c r="E23" s="203" t="str">
        <f>CFS_Hist_TA!E23</f>
        <v>Cost of Goods Sold</v>
      </c>
      <c r="J23" s="219">
        <f>IF(J$12=0,0,CFS_Hist_TA!J23)</f>
        <v>-25</v>
      </c>
      <c r="K23" s="219">
        <f>IF(K$12=0,0,CFS_Hist_TA!K23)</f>
        <v>-25.624999999999996</v>
      </c>
      <c r="L23" s="219">
        <f>IF(L$12=0,0,CFS_Hist_TA!L23)</f>
        <v>-26.265624999999993</v>
      </c>
      <c r="M23" s="219">
        <f>IF(M$12=0,0,CFS_Hist_TA!M23)</f>
        <v>0</v>
      </c>
      <c r="N23" s="219">
        <f>IF(N$12=0,0,CFS_Hist_TA!N23)</f>
        <v>0</v>
      </c>
      <c r="O23" s="219">
        <f>IF(O$12=0,0,CFS_Hist_TA!O23)</f>
        <v>0</v>
      </c>
      <c r="P23" s="219">
        <f>IF(P$12=0,0,CFS_Hist_TA!P23)</f>
        <v>0</v>
      </c>
      <c r="Q23" s="219">
        <f>IF(Q$12=0,0,CFS_Hist_TA!Q23)</f>
        <v>0</v>
      </c>
    </row>
    <row r="24" spans="3:17" s="24" customFormat="1" hidden="1" outlineLevel="2">
      <c r="D24" s="185"/>
      <c r="E24" s="203" t="str">
        <f>CFS_Hist_TA!E24</f>
        <v>Operating Expenditure</v>
      </c>
      <c r="J24" s="219">
        <f>IF(J$12=0,0,CFS_Hist_TA!J24)</f>
        <v>-40</v>
      </c>
      <c r="K24" s="219">
        <f>IF(K$12=0,0,CFS_Hist_TA!K24)</f>
        <v>-41</v>
      </c>
      <c r="L24" s="219">
        <f>IF(L$12=0,0,CFS_Hist_TA!L24)</f>
        <v>-42.024999999999999</v>
      </c>
      <c r="M24" s="219">
        <f>IF(M$12=0,0,CFS_Hist_TA!M24)</f>
        <v>0</v>
      </c>
      <c r="N24" s="219">
        <f>IF(N$12=0,0,CFS_Hist_TA!N24)</f>
        <v>0</v>
      </c>
      <c r="O24" s="219">
        <f>IF(O$12=0,0,CFS_Hist_TA!O24)</f>
        <v>0</v>
      </c>
      <c r="P24" s="219">
        <f>IF(P$12=0,0,CFS_Hist_TA!P24)</f>
        <v>0</v>
      </c>
      <c r="Q24" s="219">
        <f>IF(Q$12=0,0,CFS_Hist_TA!Q24)</f>
        <v>0</v>
      </c>
    </row>
    <row r="25" spans="3:17" s="24" customFormat="1" hidden="1" outlineLevel="2">
      <c r="D25" s="185"/>
      <c r="E25" s="203"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c r="D26" s="203" t="str">
        <f>CFS_Hist_TA!D26</f>
        <v>Cash Payments</v>
      </c>
      <c r="J26" s="219">
        <f t="shared" ref="J26" si="10">SUM(J23:J25)</f>
        <v>-72.986301369863014</v>
      </c>
      <c r="K26" s="219">
        <f t="shared" ref="K26:Q26" si="11">SUM(K23:K25)</f>
        <v>-66.424657534246577</v>
      </c>
      <c r="L26" s="219">
        <f t="shared" si="11"/>
        <v>-68.108277776218273</v>
      </c>
      <c r="M26" s="219">
        <f t="shared" si="11"/>
        <v>0</v>
      </c>
      <c r="N26" s="219">
        <f t="shared" si="11"/>
        <v>0</v>
      </c>
      <c r="O26" s="219">
        <f t="shared" si="11"/>
        <v>0</v>
      </c>
      <c r="P26" s="219">
        <f t="shared" si="11"/>
        <v>0</v>
      </c>
      <c r="Q26" s="219">
        <f t="shared" si="11"/>
        <v>0</v>
      </c>
    </row>
    <row r="27" spans="3:17" s="24" customFormat="1">
      <c r="D27" s="203" t="str">
        <f>CFS_Hist_TA!D27</f>
        <v>Interest Paid</v>
      </c>
      <c r="J27" s="219">
        <f>IF(J$12=0,0,CFS_Hist_TA!J27)</f>
        <v>-3.25</v>
      </c>
      <c r="K27" s="219">
        <f>IF(K$12=0,0,CFS_Hist_TA!K27)</f>
        <v>-3.25</v>
      </c>
      <c r="L27" s="219">
        <f>IF(L$12=0,0,CFS_Hist_TA!L27)</f>
        <v>-3.25</v>
      </c>
      <c r="M27" s="219">
        <f>IF(M$12=0,0,CFS_Hist_TA!M27)</f>
        <v>0</v>
      </c>
      <c r="N27" s="219">
        <f>IF(N$12=0,0,CFS_Hist_TA!N27)</f>
        <v>0</v>
      </c>
      <c r="O27" s="219">
        <f>IF(O$12=0,0,CFS_Hist_TA!O27)</f>
        <v>0</v>
      </c>
      <c r="P27" s="219">
        <f>IF(P$12=0,0,CFS_Hist_TA!P27)</f>
        <v>0</v>
      </c>
      <c r="Q27" s="219">
        <f>IF(Q$12=0,0,CFS_Hist_TA!Q27)</f>
        <v>0</v>
      </c>
    </row>
    <row r="28" spans="3:17" s="24" customFormat="1">
      <c r="D28" s="203" t="str">
        <f>CFS_Hist_TA!D28</f>
        <v>Tax Paid</v>
      </c>
      <c r="J28" s="219">
        <f>IF(J$12=0,0,CFS_Hist_TA!J28)</f>
        <v>-3.5</v>
      </c>
      <c r="K28" s="219">
        <f>IF(K$12=0,0,CFS_Hist_TA!K28)</f>
        <v>-12.7875</v>
      </c>
      <c r="L28" s="219">
        <f>IF(L$12=0,0,CFS_Hist_TA!L28)</f>
        <v>-13.131562499999999</v>
      </c>
      <c r="M28" s="219">
        <f>IF(M$12=0,0,CFS_Hist_TA!M28)</f>
        <v>0</v>
      </c>
      <c r="N28" s="219">
        <f>IF(N$12=0,0,CFS_Hist_TA!N28)</f>
        <v>0</v>
      </c>
      <c r="O28" s="219">
        <f>IF(O$12=0,0,CFS_Hist_TA!O28)</f>
        <v>0</v>
      </c>
      <c r="P28" s="219">
        <f>IF(P$12=0,0,CFS_Hist_TA!P28)</f>
        <v>0</v>
      </c>
      <c r="Q28" s="219">
        <f>IF(Q$12=0,0,CFS_Hist_TA!Q28)</f>
        <v>0</v>
      </c>
    </row>
    <row r="29" spans="3:17" s="24" customFormat="1">
      <c r="D29" s="203" t="str">
        <f>CFS_Hist_TA!D29</f>
        <v>Decrease in Other Current Assets</v>
      </c>
      <c r="J29" s="219">
        <f>IF(J$12=0,0,CFS_Hist_TA!J29)</f>
        <v>-1</v>
      </c>
      <c r="K29" s="219">
        <f>IF(K$12=0,0,CFS_Hist_TA!K29)</f>
        <v>-1</v>
      </c>
      <c r="L29" s="219">
        <f>IF(L$12=0,0,CFS_Hist_TA!L29)</f>
        <v>-1</v>
      </c>
      <c r="M29" s="219">
        <f>IF(M$12=0,0,CFS_Hist_TA!M29)</f>
        <v>0</v>
      </c>
      <c r="N29" s="219">
        <f>IF(N$12=0,0,CFS_Hist_TA!N29)</f>
        <v>0</v>
      </c>
      <c r="O29" s="219">
        <f>IF(O$12=0,0,CFS_Hist_TA!O29)</f>
        <v>0</v>
      </c>
      <c r="P29" s="219">
        <f>IF(P$12=0,0,CFS_Hist_TA!P29)</f>
        <v>0</v>
      </c>
      <c r="Q29" s="219">
        <f>IF(Q$12=0,0,CFS_Hist_TA!Q29)</f>
        <v>0</v>
      </c>
    </row>
    <row r="30" spans="3:17" s="24" customFormat="1">
      <c r="D30" s="203" t="str">
        <f>CFS_Hist_TA!D30</f>
        <v>Increase in Other Current Liabilities</v>
      </c>
      <c r="J30" s="219">
        <f>IF(J$12=0,0,CFS_Hist_TA!J30)</f>
        <v>1</v>
      </c>
      <c r="K30" s="219">
        <f>IF(K$12=0,0,CFS_Hist_TA!K30)</f>
        <v>1</v>
      </c>
      <c r="L30" s="219">
        <f>IF(L$12=0,0,CFS_Hist_TA!L30)</f>
        <v>1</v>
      </c>
      <c r="M30" s="219">
        <f>IF(M$12=0,0,CFS_Hist_TA!M30)</f>
        <v>0</v>
      </c>
      <c r="N30" s="219">
        <f>IF(N$12=0,0,CFS_Hist_TA!N30)</f>
        <v>0</v>
      </c>
      <c r="O30" s="219">
        <f>IF(O$12=0,0,CFS_Hist_TA!O30)</f>
        <v>0</v>
      </c>
      <c r="P30" s="219">
        <f>IF(P$12=0,0,CFS_Hist_TA!P30)</f>
        <v>0</v>
      </c>
      <c r="Q30" s="219">
        <f>IF(Q$12=0,0,CFS_Hist_TA!Q30)</f>
        <v>0</v>
      </c>
    </row>
    <row r="31" spans="3:17" s="24" customFormat="1">
      <c r="D31" s="179" t="str">
        <f>CFS_Hist_TA!D31</f>
        <v>Net Cash Flow from Operating Activities</v>
      </c>
      <c r="J31" s="211">
        <f t="shared" ref="J31" si="12">J22+J26+SUM(J27:J30)</f>
        <v>55.989726027397268</v>
      </c>
      <c r="K31" s="211">
        <f t="shared" ref="K31:Q31" si="13">K22+K26+SUM(K27:K30)</f>
        <v>45.405993150684914</v>
      </c>
      <c r="L31" s="211">
        <f t="shared" si="13"/>
        <v>46.604506231753874</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ht="11.25">
      <c r="C33" s="216" t="str">
        <f>CFS_Hist_TA!C33</f>
        <v>Cash Flow from Investing Activities</v>
      </c>
      <c r="J33" s="143"/>
      <c r="K33" s="143"/>
      <c r="L33" s="143"/>
      <c r="M33" s="143"/>
      <c r="N33" s="143"/>
      <c r="O33" s="143"/>
      <c r="P33" s="143"/>
      <c r="Q33" s="143"/>
    </row>
    <row r="34" spans="3:17" s="24" customFormat="1">
      <c r="J34" s="143"/>
      <c r="K34" s="143"/>
      <c r="L34" s="143"/>
      <c r="M34" s="143"/>
      <c r="N34" s="143"/>
      <c r="O34" s="143"/>
      <c r="P34" s="143"/>
      <c r="Q34" s="143"/>
    </row>
    <row r="35" spans="3:17" s="24" customFormat="1">
      <c r="D35" s="203" t="str">
        <f>CFS_Hist_TA!D35</f>
        <v>Capital Expenditure - Assets</v>
      </c>
      <c r="J35" s="219">
        <f>IF(J$12=0,0,CFS_Hist_TA!J35)</f>
        <v>-15</v>
      </c>
      <c r="K35" s="219">
        <f>IF(K$12=0,0,CFS_Hist_TA!K35)</f>
        <v>-15.374999999999998</v>
      </c>
      <c r="L35" s="219">
        <f>IF(L$12=0,0,CFS_Hist_TA!L35)</f>
        <v>-15.759374999999997</v>
      </c>
      <c r="M35" s="219">
        <f>IF(M$12=0,0,CFS_Hist_TA!M35)</f>
        <v>0</v>
      </c>
      <c r="N35" s="219">
        <f>IF(N$12=0,0,CFS_Hist_TA!N35)</f>
        <v>0</v>
      </c>
      <c r="O35" s="219">
        <f>IF(O$12=0,0,CFS_Hist_TA!O35)</f>
        <v>0</v>
      </c>
      <c r="P35" s="219">
        <f>IF(P$12=0,0,CFS_Hist_TA!P35)</f>
        <v>0</v>
      </c>
      <c r="Q35" s="219">
        <f>IF(Q$12=0,0,CFS_Hist_TA!Q35)</f>
        <v>0</v>
      </c>
    </row>
    <row r="36" spans="3:17" s="24" customFormat="1">
      <c r="D36" s="203" t="str">
        <f>CFS_Hist_TA!D36</f>
        <v>Capital Expenditure - Intangibles</v>
      </c>
      <c r="J36" s="219">
        <f>IF(J$12=0,0,CFS_Hist_TA!J36)</f>
        <v>-2.5</v>
      </c>
      <c r="K36" s="219">
        <f>IF(K$12=0,0,CFS_Hist_TA!K36)</f>
        <v>-2.5625</v>
      </c>
      <c r="L36" s="219">
        <f>IF(L$12=0,0,CFS_Hist_TA!L36)</f>
        <v>-2.6265624999999999</v>
      </c>
      <c r="M36" s="219">
        <f>IF(M$12=0,0,CFS_Hist_TA!M36)</f>
        <v>0</v>
      </c>
      <c r="N36" s="219">
        <f>IF(N$12=0,0,CFS_Hist_TA!N36)</f>
        <v>0</v>
      </c>
      <c r="O36" s="219">
        <f>IF(O$12=0,0,CFS_Hist_TA!O36)</f>
        <v>0</v>
      </c>
      <c r="P36" s="219">
        <f>IF(P$12=0,0,CFS_Hist_TA!P36)</f>
        <v>0</v>
      </c>
      <c r="Q36" s="219">
        <f>IF(Q$12=0,0,CFS_Hist_TA!Q36)</f>
        <v>0</v>
      </c>
    </row>
    <row r="37" spans="3:17" s="24" customFormat="1">
      <c r="D37" s="203" t="str">
        <f>CFS_Hist_TA!D37</f>
        <v>Decrease in Other Non-Current Assets</v>
      </c>
      <c r="J37" s="219">
        <f>IF(J$12=0,0,CFS_Hist_TA!J37)</f>
        <v>-1</v>
      </c>
      <c r="K37" s="219">
        <f>IF(K$12=0,0,CFS_Hist_TA!K37)</f>
        <v>-1</v>
      </c>
      <c r="L37" s="219">
        <f>IF(L$12=0,0,CFS_Hist_TA!L37)</f>
        <v>-1</v>
      </c>
      <c r="M37" s="219">
        <f>IF(M$12=0,0,CFS_Hist_TA!M37)</f>
        <v>0</v>
      </c>
      <c r="N37" s="219">
        <f>IF(N$12=0,0,CFS_Hist_TA!N37)</f>
        <v>0</v>
      </c>
      <c r="O37" s="219">
        <f>IF(O$12=0,0,CFS_Hist_TA!O37)</f>
        <v>0</v>
      </c>
      <c r="P37" s="219">
        <f>IF(P$12=0,0,CFS_Hist_TA!P37)</f>
        <v>0</v>
      </c>
      <c r="Q37" s="219">
        <f>IF(Q$12=0,0,CFS_Hist_TA!Q37)</f>
        <v>0</v>
      </c>
    </row>
    <row r="38" spans="3:17" s="24" customFormat="1">
      <c r="D38" s="203" t="str">
        <f>CFS_Hist_TA!D38</f>
        <v>Increase in Other Non-Current Liabilities</v>
      </c>
      <c r="J38" s="219">
        <f>IF(J$12=0,0,CFS_Hist_TA!J38)</f>
        <v>1</v>
      </c>
      <c r="K38" s="219">
        <f>IF(K$12=0,0,CFS_Hist_TA!K38)</f>
        <v>1</v>
      </c>
      <c r="L38" s="219">
        <f>IF(L$12=0,0,CFS_Hist_TA!L38)</f>
        <v>1</v>
      </c>
      <c r="M38" s="219">
        <f>IF(M$12=0,0,CFS_Hist_TA!M38)</f>
        <v>0</v>
      </c>
      <c r="N38" s="219">
        <f>IF(N$12=0,0,CFS_Hist_TA!N38)</f>
        <v>0</v>
      </c>
      <c r="O38" s="219">
        <f>IF(O$12=0,0,CFS_Hist_TA!O38)</f>
        <v>0</v>
      </c>
      <c r="P38" s="219">
        <f>IF(P$12=0,0,CFS_Hist_TA!P38)</f>
        <v>0</v>
      </c>
      <c r="Q38" s="219">
        <f>IF(Q$12=0,0,CFS_Hist_TA!Q38)</f>
        <v>0</v>
      </c>
    </row>
    <row r="39" spans="3:17" s="24" customFormat="1">
      <c r="D39" s="179" t="str">
        <f>CFS_Hist_TA!D39</f>
        <v>Net Cash Flow from Investing Activities</v>
      </c>
      <c r="J39" s="211">
        <f t="shared" ref="J39" si="14">SUM(J35:J38)</f>
        <v>-17.5</v>
      </c>
      <c r="K39" s="211">
        <f t="shared" ref="K39:Q39" si="15">SUM(K35:K38)</f>
        <v>-17.9375</v>
      </c>
      <c r="L39" s="211">
        <f t="shared" si="15"/>
        <v>-18.385937499999997</v>
      </c>
      <c r="M39" s="211">
        <f t="shared" si="15"/>
        <v>0</v>
      </c>
      <c r="N39" s="211">
        <f t="shared" si="15"/>
        <v>0</v>
      </c>
      <c r="O39" s="211">
        <f t="shared" si="15"/>
        <v>0</v>
      </c>
      <c r="P39" s="211">
        <f t="shared" si="15"/>
        <v>0</v>
      </c>
      <c r="Q39" s="211">
        <f t="shared" si="15"/>
        <v>0</v>
      </c>
    </row>
    <row r="40" spans="3:17" s="24" customFormat="1">
      <c r="J40" s="143"/>
      <c r="K40" s="143"/>
      <c r="L40" s="143"/>
      <c r="M40" s="143"/>
      <c r="N40" s="143"/>
      <c r="O40" s="143"/>
      <c r="P40" s="143"/>
      <c r="Q40" s="143"/>
    </row>
    <row r="41" spans="3:17" s="24" customFormat="1" ht="11.25">
      <c r="C41" s="216" t="str">
        <f>CFS_Hist_TA!C41</f>
        <v>Cash Flow from Financing Activities</v>
      </c>
      <c r="J41" s="143"/>
      <c r="K41" s="143"/>
      <c r="L41" s="143"/>
      <c r="M41" s="143"/>
      <c r="N41" s="143"/>
      <c r="O41" s="143"/>
      <c r="P41" s="143"/>
      <c r="Q41" s="143"/>
    </row>
    <row r="42" spans="3:17" s="24" customFormat="1">
      <c r="J42" s="143"/>
      <c r="K42" s="143"/>
      <c r="L42" s="143"/>
      <c r="M42" s="143"/>
      <c r="N42" s="143"/>
      <c r="O42" s="143"/>
      <c r="P42" s="143"/>
      <c r="Q42" s="143"/>
    </row>
    <row r="43" spans="3:17" s="24" customFormat="1">
      <c r="D43" s="203" t="str">
        <f>CFS_Hist_TA!D43</f>
        <v>Debt Drawdowns</v>
      </c>
      <c r="J43" s="219">
        <f>IF(J$12=0,0,CFS_Hist_TA!J43)</f>
        <v>0</v>
      </c>
      <c r="K43" s="219">
        <f>IF(K$12=0,0,CFS_Hist_TA!K43)</f>
        <v>0</v>
      </c>
      <c r="L43" s="219">
        <f>IF(L$12=0,0,CFS_Hist_TA!L43)</f>
        <v>0</v>
      </c>
      <c r="M43" s="219">
        <f>IF(M$12=0,0,CFS_Hist_TA!M43)</f>
        <v>0</v>
      </c>
      <c r="N43" s="219">
        <f>IF(N$12=0,0,CFS_Hist_TA!N43)</f>
        <v>0</v>
      </c>
      <c r="O43" s="219">
        <f>IF(O$12=0,0,CFS_Hist_TA!O43)</f>
        <v>0</v>
      </c>
      <c r="P43" s="219">
        <f>IF(P$12=0,0,CFS_Hist_TA!P43)</f>
        <v>0</v>
      </c>
      <c r="Q43" s="219">
        <f>IF(Q$12=0,0,CFS_Hist_TA!Q43)</f>
        <v>0</v>
      </c>
    </row>
    <row r="44" spans="3:17" s="24" customFormat="1">
      <c r="D44" s="203" t="str">
        <f>CFS_Hist_TA!D44</f>
        <v>Debt Repayments</v>
      </c>
      <c r="J44" s="219">
        <f>IF(J$12=0,0,CFS_Hist_TA!J44)</f>
        <v>0</v>
      </c>
      <c r="K44" s="219">
        <f>IF(K$12=0,0,CFS_Hist_TA!K44)</f>
        <v>0</v>
      </c>
      <c r="L44" s="219">
        <f>IF(L$12=0,0,CFS_Hist_TA!L44)</f>
        <v>0</v>
      </c>
      <c r="M44" s="219">
        <f>IF(M$12=0,0,CFS_Hist_TA!M44)</f>
        <v>0</v>
      </c>
      <c r="N44" s="219">
        <f>IF(N$12=0,0,CFS_Hist_TA!N44)</f>
        <v>0</v>
      </c>
      <c r="O44" s="219">
        <f>IF(O$12=0,0,CFS_Hist_TA!O44)</f>
        <v>0</v>
      </c>
      <c r="P44" s="219">
        <f>IF(P$12=0,0,CFS_Hist_TA!P44)</f>
        <v>0</v>
      </c>
      <c r="Q44" s="219">
        <f>IF(Q$12=0,0,CFS_Hist_TA!Q44)</f>
        <v>0</v>
      </c>
    </row>
    <row r="45" spans="3:17" s="24" customFormat="1">
      <c r="D45" s="203" t="str">
        <f>CFS_Hist_TA!D45</f>
        <v>Equity Raisings</v>
      </c>
      <c r="J45" s="219">
        <f>IF(J$12=0,0,CFS_Hist_TA!J45)</f>
        <v>0</v>
      </c>
      <c r="K45" s="219">
        <f>IF(K$12=0,0,CFS_Hist_TA!K45)</f>
        <v>0</v>
      </c>
      <c r="L45" s="219">
        <f>IF(L$12=0,0,CFS_Hist_TA!L45)</f>
        <v>0</v>
      </c>
      <c r="M45" s="219">
        <f>IF(M$12=0,0,CFS_Hist_TA!M45)</f>
        <v>0</v>
      </c>
      <c r="N45" s="219">
        <f>IF(N$12=0,0,CFS_Hist_TA!N45)</f>
        <v>0</v>
      </c>
      <c r="O45" s="219">
        <f>IF(O$12=0,0,CFS_Hist_TA!O45)</f>
        <v>0</v>
      </c>
      <c r="P45" s="219">
        <f>IF(P$12=0,0,CFS_Hist_TA!P45)</f>
        <v>0</v>
      </c>
      <c r="Q45" s="219">
        <f>IF(Q$12=0,0,CFS_Hist_TA!Q45)</f>
        <v>0</v>
      </c>
    </row>
    <row r="46" spans="3:17" s="24" customFormat="1">
      <c r="D46" s="203" t="str">
        <f>CFS_Hist_TA!D46</f>
        <v>Equity Repayments</v>
      </c>
      <c r="J46" s="219">
        <f>IF(J$12=0,0,CFS_Hist_TA!J46)</f>
        <v>0</v>
      </c>
      <c r="K46" s="219">
        <f>IF(K$12=0,0,CFS_Hist_TA!K46)</f>
        <v>0</v>
      </c>
      <c r="L46" s="219">
        <f>IF(L$12=0,0,CFS_Hist_TA!L46)</f>
        <v>0</v>
      </c>
      <c r="M46" s="219">
        <f>IF(M$12=0,0,CFS_Hist_TA!M46)</f>
        <v>0</v>
      </c>
      <c r="N46" s="219">
        <f>IF(N$12=0,0,CFS_Hist_TA!N46)</f>
        <v>0</v>
      </c>
      <c r="O46" s="219">
        <f>IF(O$12=0,0,CFS_Hist_TA!O46)</f>
        <v>0</v>
      </c>
      <c r="P46" s="219">
        <f>IF(P$12=0,0,CFS_Hist_TA!P46)</f>
        <v>0</v>
      </c>
      <c r="Q46" s="219">
        <f>IF(Q$12=0,0,CFS_Hist_TA!Q46)</f>
        <v>0</v>
      </c>
    </row>
    <row r="47" spans="3:17" s="24" customFormat="1">
      <c r="D47" s="203" t="str">
        <f>CFS_Hist_TA!D47</f>
        <v>Dividends Paid During Period</v>
      </c>
      <c r="J47" s="219">
        <f>IF(J$12=0,0,CFS_Hist_TA!J47)</f>
        <v>-14.918749999999999</v>
      </c>
      <c r="K47" s="219">
        <f>IF(K$12=0,0,CFS_Hist_TA!K47)</f>
        <v>-15.32015625</v>
      </c>
      <c r="L47" s="219">
        <f>IF(L$12=0,0,CFS_Hist_TA!L47)</f>
        <v>-15.731597656250003</v>
      </c>
      <c r="M47" s="219">
        <f>IF(M$12=0,0,CFS_Hist_TA!M47)</f>
        <v>0</v>
      </c>
      <c r="N47" s="219">
        <f>IF(N$12=0,0,CFS_Hist_TA!N47)</f>
        <v>0</v>
      </c>
      <c r="O47" s="219">
        <f>IF(O$12=0,0,CFS_Hist_TA!O47)</f>
        <v>0</v>
      </c>
      <c r="P47" s="219">
        <f>IF(P$12=0,0,CFS_Hist_TA!P47)</f>
        <v>0</v>
      </c>
      <c r="Q47" s="219">
        <f>IF(Q$12=0,0,CFS_Hist_TA!Q47)</f>
        <v>0</v>
      </c>
    </row>
    <row r="48" spans="3:17" s="24" customFormat="1">
      <c r="D48" s="203" t="str">
        <f>CFS_Hist_TA!D48</f>
        <v>Increase in Other Equity</v>
      </c>
      <c r="J48" s="219">
        <f>IF(J$12=0,0,CFS_Hist_TA!J48)</f>
        <v>0.1</v>
      </c>
      <c r="K48" s="219">
        <f>IF(K$12=0,0,CFS_Hist_TA!K48)</f>
        <v>0.1</v>
      </c>
      <c r="L48" s="219">
        <f>IF(L$12=0,0,CFS_Hist_TA!L48)</f>
        <v>0.1</v>
      </c>
      <c r="M48" s="219">
        <f>IF(M$12=0,0,CFS_Hist_TA!M48)</f>
        <v>0</v>
      </c>
      <c r="N48" s="219">
        <f>IF(N$12=0,0,CFS_Hist_TA!N48)</f>
        <v>0</v>
      </c>
      <c r="O48" s="219">
        <f>IF(O$12=0,0,CFS_Hist_TA!O48)</f>
        <v>0</v>
      </c>
      <c r="P48" s="219">
        <f>IF(P$12=0,0,CFS_Hist_TA!P48)</f>
        <v>0</v>
      </c>
      <c r="Q48" s="219">
        <f>IF(Q$12=0,0,CFS_Hist_TA!Q48)</f>
        <v>0</v>
      </c>
    </row>
    <row r="49" spans="3:17" s="24" customFormat="1">
      <c r="D49" s="179" t="str">
        <f>CFS_Hist_TA!D49</f>
        <v>Net Cash Flow from Financing Activities</v>
      </c>
      <c r="J49" s="211">
        <f>SUM(J43:J48)</f>
        <v>-14.81875</v>
      </c>
      <c r="K49" s="211">
        <f t="shared" ref="K49:Q49" si="16">SUM(K43:K48)</f>
        <v>-15.22015625</v>
      </c>
      <c r="L49" s="211">
        <f t="shared" si="16"/>
        <v>-15.631597656250003</v>
      </c>
      <c r="M49" s="211">
        <f t="shared" si="16"/>
        <v>0</v>
      </c>
      <c r="N49" s="211">
        <f t="shared" si="16"/>
        <v>0</v>
      </c>
      <c r="O49" s="211">
        <f t="shared" si="16"/>
        <v>0</v>
      </c>
      <c r="P49" s="211">
        <f t="shared" si="16"/>
        <v>0</v>
      </c>
      <c r="Q49" s="211">
        <f t="shared" si="16"/>
        <v>0</v>
      </c>
    </row>
    <row r="50" spans="3:17" s="24" customFormat="1">
      <c r="J50" s="143"/>
      <c r="K50" s="143"/>
      <c r="L50" s="143"/>
      <c r="M50" s="143"/>
      <c r="N50" s="143"/>
      <c r="O50" s="143"/>
      <c r="P50" s="143"/>
      <c r="Q50" s="143"/>
    </row>
    <row r="51" spans="3:17" s="24" customFormat="1" ht="12" thickBot="1">
      <c r="C51" s="216" t="str">
        <f>CFS_Hist_TA!C51</f>
        <v>Net Increase / (Decrease) in Cash Held</v>
      </c>
      <c r="J51" s="213">
        <f t="shared" ref="J51" si="17">J31+J39+J49</f>
        <v>23.670976027397266</v>
      </c>
      <c r="K51" s="213">
        <f t="shared" ref="K51:Q51" si="18">K31+K39+K49</f>
        <v>12.248336900684913</v>
      </c>
      <c r="L51" s="213">
        <f t="shared" si="18"/>
        <v>12.586971075503874</v>
      </c>
      <c r="M51" s="213">
        <f t="shared" si="18"/>
        <v>0</v>
      </c>
      <c r="N51" s="213">
        <f t="shared" si="18"/>
        <v>0</v>
      </c>
      <c r="O51" s="213">
        <f t="shared" si="18"/>
        <v>0</v>
      </c>
      <c r="P51" s="213">
        <f t="shared" si="18"/>
        <v>0</v>
      </c>
      <c r="Q51" s="213">
        <f t="shared" si="18"/>
        <v>0</v>
      </c>
    </row>
    <row r="52" spans="3:17" s="24" customFormat="1" ht="11.25" thickTop="1"/>
    <row r="53" spans="3:17" s="24" customFormat="1">
      <c r="C53" s="179" t="str">
        <f>CFS_Hist_TA!C53</f>
        <v>Notes</v>
      </c>
    </row>
    <row r="54" spans="3:17" s="24" customFormat="1">
      <c r="C54" s="218">
        <f>CFS_Hist_TA!C54</f>
        <v>1</v>
      </c>
      <c r="D54" s="214" t="str">
        <f>"All cash flows are specified in "&amp;INDEX(LU_Denom,DD_TS_Denom)&amp;"."</f>
        <v>All cash flows are specified in $Millions.</v>
      </c>
    </row>
    <row r="55" spans="3:17" s="24" customFormat="1"/>
    <row r="56" spans="3:17" s="24" customFormat="1"/>
    <row r="57" spans="3:17" s="24" customFormat="1"/>
    <row r="58" spans="3:17" s="24" customFormat="1"/>
    <row r="59" spans="3:17" s="24" customFormat="1"/>
    <row r="60" spans="3:17" s="24" customFormat="1"/>
    <row r="61" spans="3:17" s="24" customFormat="1"/>
    <row r="62" spans="3:17" s="24" customFormat="1"/>
    <row r="63" spans="3:17" s="24" customFormat="1"/>
  </sheetData>
  <mergeCells count="1">
    <mergeCell ref="B3:F3"/>
  </mergeCells>
  <conditionalFormatting sqref="J20:Q51">
    <cfRule type="expression" dxfId="56"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502</v>
      </c>
    </row>
    <row r="10" spans="3:7" ht="16.5">
      <c r="C10" s="27" t="s">
        <v>510</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177" t="s">
        <v>503</v>
      </c>
    </row>
    <row r="19" spans="3:3">
      <c r="C19" s="177"/>
    </row>
    <row r="20" spans="3:3">
      <c r="C20" s="177"/>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502</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0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0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0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0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0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398</v>
      </c>
    </row>
    <row r="18" spans="2:17" s="15" customFormat="1">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c r="C23" s="5"/>
      <c r="J23" s="94"/>
      <c r="K23" s="94"/>
      <c r="L23" s="94"/>
      <c r="M23" s="94"/>
      <c r="N23" s="94"/>
      <c r="O23" s="94"/>
      <c r="P23" s="94"/>
      <c r="Q23" s="94"/>
    </row>
    <row r="25" spans="2:17" ht="12.75">
      <c r="B25" s="119" t="s">
        <v>411</v>
      </c>
    </row>
    <row r="26" spans="2:17" s="15" customFormat="1" ht="12.75">
      <c r="B26" s="23"/>
    </row>
    <row r="27" spans="2:17" ht="11.25">
      <c r="C27" s="125" t="str">
        <f>"Accounts Receivable Balances ("&amp;INDEX(LU_Denom,DD_TS_Denom)&amp;")"</f>
        <v>Accounts Receivable Balances ($Millions)</v>
      </c>
      <c r="I27" s="15"/>
    </row>
    <row r="29" spans="2:17">
      <c r="D29" s="107" t="s">
        <v>245</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c r="D31" s="172" t="s">
        <v>238</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c r="D32" s="173" t="s">
        <v>479</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c r="D33" s="108" t="s">
        <v>409</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c r="D35" s="117" t="str">
        <f>"Closing Balance Periodic Growth (% per "&amp;INDEX(LU_Period_Type_Names,MATCH(TS_Periodicity,LU_Periodicity,0))&amp;")"</f>
        <v>Closing Balance Periodic Growth (% per Year)</v>
      </c>
      <c r="K35" s="233">
        <f>IF(K$12=0,0,IF(ISERROR(K33/J33),"N/A",ROUND(K33/J33-1,5)))</f>
        <v>0</v>
      </c>
      <c r="L35" s="233">
        <f t="shared" ref="L35:Q35" si="12">IF(L$12=0,0,IF(ISERROR(L33/K33),"N/A",ROUND(L33/K33-1,5)))</f>
        <v>0</v>
      </c>
      <c r="M35" s="233" t="str">
        <f t="shared" si="12"/>
        <v>N/A</v>
      </c>
      <c r="N35" s="233">
        <f t="shared" si="12"/>
        <v>2.5000000000000001E-2</v>
      </c>
      <c r="O35" s="233">
        <f t="shared" si="12"/>
        <v>2.5000000000000001E-2</v>
      </c>
      <c r="P35" s="233">
        <f t="shared" si="12"/>
        <v>2.2200000000000001E-2</v>
      </c>
      <c r="Q35" s="233">
        <f t="shared" si="12"/>
        <v>2.7810000000000001E-2</v>
      </c>
    </row>
    <row r="36" spans="3:17">
      <c r="D36" s="173" t="s">
        <v>407</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c r="E38" s="107" t="s">
        <v>239</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c r="E39" s="107" t="s">
        <v>240</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c r="E40" s="107" t="s">
        <v>241</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c r="E41" s="107" t="s">
        <v>242</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c r="D42" s="107" t="s">
        <v>410</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c r="C44" s="125" t="str">
        <f>"Accounts Payable Balances ("&amp;INDEX(LU_Denom,DD_TS_Denom)&amp;")"</f>
        <v>Accounts Payable Balances ($Millions)</v>
      </c>
    </row>
    <row r="45" spans="3:17" s="15" customFormat="1" ht="11.25">
      <c r="C45" s="125"/>
    </row>
    <row r="46" spans="3:17">
      <c r="D46" s="107" t="s">
        <v>245</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c r="D47" s="167" t="s">
        <v>465</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c r="D48" s="172" t="s">
        <v>243</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c r="D49" s="173" t="s">
        <v>480</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c r="D50" s="108" t="s">
        <v>409</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c r="D52" s="117" t="str">
        <f>"Closing Balance Periodic Growth (% per "&amp;INDEX(LU_Period_Type_Names,MATCH(TS_Periodicity,LU_Periodicity,0))&amp;")"</f>
        <v>Closing Balance Periodic Growth (% per Year)</v>
      </c>
      <c r="K52" s="233">
        <f>IF(K$12=0,0,IF(ISERROR(K50/J50),"N/A",ROUND(K50/J50-1,5)))</f>
        <v>0</v>
      </c>
      <c r="L52" s="233">
        <f t="shared" ref="L52:Q52" si="22">IF(L$12=0,0,IF(ISERROR(L50/K50),"N/A",ROUND(L50/K50-1,5)))</f>
        <v>0</v>
      </c>
      <c r="M52" s="233" t="str">
        <f t="shared" si="22"/>
        <v>N/A</v>
      </c>
      <c r="N52" s="233">
        <f t="shared" si="22"/>
        <v>2.5000000000000001E-2</v>
      </c>
      <c r="O52" s="233">
        <f t="shared" si="22"/>
        <v>2.5000000000000001E-2</v>
      </c>
      <c r="P52" s="233">
        <f t="shared" si="22"/>
        <v>2.2200000000000001E-2</v>
      </c>
      <c r="Q52" s="233">
        <f t="shared" si="22"/>
        <v>2.7810000000000001E-2</v>
      </c>
    </row>
    <row r="53" spans="2:17">
      <c r="D53" s="173" t="s">
        <v>408</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c r="E55" s="107" t="s">
        <v>239</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c r="E56" s="107" t="s">
        <v>240</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c r="E57" s="107" t="s">
        <v>244</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c r="E58" s="107" t="s">
        <v>242</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c r="D59" s="107" t="s">
        <v>410</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c r="B62" s="119" t="s">
        <v>399</v>
      </c>
    </row>
    <row r="64" spans="2:17" s="15" customFormat="1" ht="11.25">
      <c r="C64" s="125" t="str">
        <f>"Assets Balances ("&amp;INDEX(LU_Denom,DD_TS_Denom)&amp;")"</f>
        <v>Assets Balances ($Millions)</v>
      </c>
    </row>
    <row r="65" spans="3:17" s="15" customFormat="1"/>
    <row r="66" spans="3:17" s="15" customFormat="1">
      <c r="D66" s="167" t="s">
        <v>245</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c r="D68" s="167" t="s">
        <v>468</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c r="D69" s="172" t="s">
        <v>413</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c r="D70" s="168" t="s">
        <v>409</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row r="72" spans="3:17" s="15" customFormat="1" hidden="1" outlineLevel="2">
      <c r="E72" s="167" t="s">
        <v>239</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c r="E73" s="167" t="s">
        <v>240</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c r="D74" s="167" t="s">
        <v>410</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row r="76" spans="3:17" s="15" customFormat="1" ht="11.25">
      <c r="C76" s="125" t="str">
        <f>"Intangibles Balances ("&amp;INDEX(LU_Denom,DD_TS_Denom)&amp;")"</f>
        <v>Intangibles Balances ($Millions)</v>
      </c>
    </row>
    <row r="77" spans="3:17" s="15" customFormat="1"/>
    <row r="78" spans="3:17" s="15" customFormat="1">
      <c r="D78" s="167" t="s">
        <v>245</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c r="D80" s="167" t="s">
        <v>469</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c r="D81" s="172" t="s">
        <v>470</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c r="D82" s="168" t="s">
        <v>409</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row r="84" spans="2:17" s="15" customFormat="1" hidden="1" outlineLevel="2">
      <c r="E84" s="167" t="s">
        <v>239</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c r="E85" s="167" t="s">
        <v>240</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c r="D86" s="167" t="s">
        <v>410</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c r="B89" s="119" t="s">
        <v>400</v>
      </c>
    </row>
    <row r="91" spans="2:17" s="15" customFormat="1" ht="11.25">
      <c r="C91" s="93" t="s">
        <v>474</v>
      </c>
    </row>
    <row r="92" spans="2:17" s="15" customFormat="1" ht="11.25">
      <c r="C92" s="93"/>
    </row>
    <row r="93" spans="2:17">
      <c r="D93" s="4" t="str">
        <f>Fcast_TA!$D$62</f>
        <v>Funds Drawn ($Millions)</v>
      </c>
    </row>
    <row r="95" spans="2:17">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c r="D100" s="4" t="str">
        <f>Fcast_TA!$D$71</f>
        <v>Interest Expense</v>
      </c>
    </row>
    <row r="102" spans="4:17">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c r="E107" s="107" t="s">
        <v>255</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c r="E109" s="107" t="s">
        <v>256</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c r="E110" s="168" t="s">
        <v>250</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c r="E114" s="107" t="s">
        <v>257</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c r="E115" s="108" t="s">
        <v>258</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c r="C117" s="93" t="s">
        <v>415</v>
      </c>
    </row>
    <row r="119" spans="3:17">
      <c r="D119" s="4" t="str">
        <f>Fcast_TA!$D$81</f>
        <v>Ordinary Equity Balances ($Millions)</v>
      </c>
    </row>
    <row r="121" spans="3:17">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c r="D126" s="4" t="str">
        <f>Fcast_TA!$D$88</f>
        <v>Dividends Payable &amp; Paid</v>
      </c>
    </row>
    <row r="128" spans="3:17">
      <c r="E128" s="107" t="s">
        <v>245</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c r="E129" s="107" t="s">
        <v>272</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c r="E130" s="107" t="s">
        <v>273</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c r="E131" s="108" t="s">
        <v>274</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c r="F133" s="107" t="s">
        <v>239</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c r="F134" s="107" t="s">
        <v>275</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c r="F135" s="107" t="s">
        <v>276</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c r="E136" s="107" t="s">
        <v>410</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row r="138" spans="4:17" collapsed="1">
      <c r="E138" s="107" t="s">
        <v>423</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c r="D140" s="168" t="s">
        <v>422</v>
      </c>
    </row>
    <row r="142" spans="4:17">
      <c r="E142" s="5" t="str">
        <f>Fcast_TA!$E$92</f>
        <v>Determination Method:</v>
      </c>
      <c r="I142" s="5" t="str">
        <f>INDEX(LU_Eq_Ord_Div_Meth,DD_Eq_Ord_Div_Meth)</f>
        <v>% of NPAT</v>
      </c>
    </row>
    <row r="144" spans="4:17">
      <c r="E144" s="5" t="str">
        <f>Fcast_TA!$E$94</f>
        <v>Dividend Declaration Period?</v>
      </c>
      <c r="J144" s="251" t="str">
        <f>IF(J$12=0,"-",Fcast_TA!J94)</f>
        <v>-</v>
      </c>
      <c r="K144" s="251" t="str">
        <f>IF(K$12=0,"-",Fcast_TA!K94)</f>
        <v>-</v>
      </c>
      <c r="L144" s="251" t="str">
        <f>IF(L$12=0,"-",Fcast_TA!L94)</f>
        <v>-</v>
      </c>
      <c r="M144" s="251" t="str">
        <f>IF(M$12=0,"-",Fcast_TA!M94)</f>
        <v>Yes</v>
      </c>
      <c r="N144" s="251" t="str">
        <f>IF(N$12=0,"-",Fcast_TA!N94)</f>
        <v>Yes</v>
      </c>
      <c r="O144" s="251" t="str">
        <f>IF(O$12=0,"-",Fcast_TA!O94)</f>
        <v>Yes</v>
      </c>
      <c r="P144" s="251" t="str">
        <f>IF(P$12=0,"-",Fcast_TA!P94)</f>
        <v>Yes</v>
      </c>
      <c r="Q144" s="251" t="str">
        <f>IF(Q$12=0,"-",Fcast_TA!Q94)</f>
        <v>Yes</v>
      </c>
    </row>
    <row r="146" spans="2:17" s="24" customFormat="1">
      <c r="E146" s="146" t="s">
        <v>277</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c r="E147" s="146" t="s">
        <v>278</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c r="E148" s="108" t="s">
        <v>281</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c r="E149" s="146" t="s">
        <v>279</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c r="E150" s="146" t="s">
        <v>280</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c r="E151" s="108" t="s">
        <v>282</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c r="E154" s="107" t="s">
        <v>283</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c r="E155" s="108" t="s">
        <v>284</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c r="B158" s="119" t="s">
        <v>417</v>
      </c>
    </row>
    <row r="160" spans="2:17" s="15" customFormat="1" ht="12.75">
      <c r="B160" s="119"/>
      <c r="C160" s="125" t="str">
        <f>"Tax Expense ("&amp;INDEX(LU_Denom,DD_TS_Denom)&amp;")"</f>
        <v>Tax Expense ($Millions)</v>
      </c>
    </row>
    <row r="162" spans="3:17">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c r="J169" s="94"/>
      <c r="K169" s="94"/>
      <c r="L169" s="94"/>
      <c r="M169" s="94"/>
      <c r="N169" s="94"/>
      <c r="O169" s="94"/>
      <c r="P169" s="94"/>
      <c r="Q169" s="94"/>
    </row>
    <row r="170" spans="3:17">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row r="176" spans="3:17" ht="11.25">
      <c r="C176" s="93" t="s">
        <v>489</v>
      </c>
    </row>
    <row r="178" spans="2:17">
      <c r="D178" s="167" t="s">
        <v>245</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c r="D180" s="167" t="s">
        <v>476</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c r="D181" s="168" t="s">
        <v>409</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c r="B184" s="119" t="s">
        <v>490</v>
      </c>
    </row>
    <row r="186" spans="2:17" ht="11.25">
      <c r="C186" s="125" t="str">
        <f>Fcast_TA!D135&amp;" ("&amp;INDEX(LU_Denom,DD_TS_Denom)&amp;")"</f>
        <v>Other Current Assets ($Millions)</v>
      </c>
    </row>
    <row r="188" spans="2:17">
      <c r="D188" s="167" t="s">
        <v>245</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c r="D189" s="167" t="s">
        <v>491</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c r="D190" s="168" t="s">
        <v>409</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c r="K191" s="15"/>
      <c r="L191" s="15"/>
      <c r="M191" s="15"/>
      <c r="N191" s="15"/>
      <c r="O191" s="15"/>
      <c r="P191" s="15"/>
      <c r="Q191" s="15"/>
    </row>
    <row r="192" spans="2:17" s="15" customFormat="1" ht="11.25">
      <c r="C192" s="125" t="str">
        <f>Fcast_TA!D136&amp;" ("&amp;INDEX(LU_Denom,DD_TS_Denom)&amp;")"</f>
        <v>Other Non-Current Assets ($Millions)</v>
      </c>
    </row>
    <row r="193" spans="3:17" s="15" customFormat="1"/>
    <row r="194" spans="3:17" s="15" customFormat="1">
      <c r="D194" s="167" t="s">
        <v>245</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c r="D195" s="167" t="s">
        <v>491</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c r="D196" s="168" t="s">
        <v>409</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c r="K197" s="15"/>
      <c r="L197" s="15"/>
      <c r="M197" s="15"/>
      <c r="N197" s="15"/>
      <c r="O197" s="15"/>
      <c r="P197" s="15"/>
      <c r="Q197" s="15"/>
    </row>
    <row r="198" spans="3:17" s="15" customFormat="1" ht="11.25">
      <c r="C198" s="125" t="str">
        <f>Fcast_TA!D137&amp;" ("&amp;INDEX(LU_Denom,DD_TS_Denom)&amp;")"</f>
        <v>Other Current Liabilities ($Millions)</v>
      </c>
    </row>
    <row r="199" spans="3:17" s="15" customFormat="1"/>
    <row r="200" spans="3:17" s="15" customFormat="1">
      <c r="D200" s="167" t="s">
        <v>245</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c r="D201" s="167" t="s">
        <v>491</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c r="D202" s="168" t="s">
        <v>409</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c r="K203" s="15"/>
      <c r="L203" s="15"/>
      <c r="M203" s="15"/>
      <c r="N203" s="15"/>
      <c r="O203" s="15"/>
      <c r="P203" s="15"/>
      <c r="Q203" s="15"/>
    </row>
    <row r="204" spans="3:17" s="15" customFormat="1" ht="11.25">
      <c r="C204" s="125" t="str">
        <f>Fcast_TA!D138&amp;" ("&amp;INDEX(LU_Denom,DD_TS_Denom)&amp;")"</f>
        <v>Other Non-Current Liabilities ($Millions)</v>
      </c>
    </row>
    <row r="205" spans="3:17" s="15" customFormat="1"/>
    <row r="206" spans="3:17" s="15" customFormat="1">
      <c r="D206" s="167" t="s">
        <v>245</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c r="D207" s="167" t="s">
        <v>491</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c r="D208" s="168" t="s">
        <v>409</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c r="C210" s="125" t="str">
        <f>Fcast_TA!D139&amp;" ("&amp;INDEX(LU_Denom,DD_TS_Denom)&amp;")"</f>
        <v>Other Equity ($Millions)</v>
      </c>
    </row>
    <row r="211" spans="3:17" s="15" customFormat="1"/>
    <row r="212" spans="3:17" s="15" customFormat="1">
      <c r="D212" s="170" t="s">
        <v>245</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c r="D213" s="170" t="s">
        <v>491</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c r="D214" s="171" t="s">
        <v>409</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mergeCells count="1">
    <mergeCell ref="B3:F3"/>
  </mergeCells>
  <conditionalFormatting sqref="D42">
    <cfRule type="expression" dxfId="55" priority="7" stopIfTrue="1">
      <formula>I42&lt;&gt;0</formula>
    </cfRule>
  </conditionalFormatting>
  <conditionalFormatting sqref="J55:Q59 I136 I138:Q138 J38:Q42 J72:Q74 J133:Q136 J84:Q86">
    <cfRule type="cellIs" dxfId="54" priority="6" stopIfTrue="1" operator="notEqual">
      <formula>0</formula>
    </cfRule>
  </conditionalFormatting>
  <conditionalFormatting sqref="D59">
    <cfRule type="expression" dxfId="53" priority="5" stopIfTrue="1">
      <formula>I59&lt;&gt;0</formula>
    </cfRule>
  </conditionalFormatting>
  <conditionalFormatting sqref="D74">
    <cfRule type="expression" dxfId="52" priority="4" stopIfTrue="1">
      <formula>I74&lt;&gt;0</formula>
    </cfRule>
  </conditionalFormatting>
  <conditionalFormatting sqref="D86">
    <cfRule type="expression" dxfId="51" priority="3" stopIfTrue="1">
      <formula>I86&lt;&gt;0</formula>
    </cfRule>
  </conditionalFormatting>
  <conditionalFormatting sqref="E136 E138">
    <cfRule type="expression" dxfId="50" priority="2" stopIfTrue="1">
      <formula>I136&lt;&gt;0</formula>
    </cfRule>
  </conditionalFormatting>
  <conditionalFormatting sqref="J144:Q144">
    <cfRule type="cellIs" dxfId="49" priority="1" stopIfTrue="1" operator="equal">
      <formula>"Yes"</formula>
    </cfRule>
  </conditionalFormatting>
  <conditionalFormatting sqref="I42">
    <cfRule type="cellIs" dxfId="48" priority="8" stopIfTrue="1" operator="notEqual">
      <formula>0</formula>
    </cfRule>
  </conditionalFormatting>
  <conditionalFormatting sqref="I59">
    <cfRule type="cellIs" dxfId="47" priority="9" stopIfTrue="1" operator="notEqual">
      <formula>0</formula>
    </cfRule>
  </conditionalFormatting>
  <conditionalFormatting sqref="I74">
    <cfRule type="cellIs" dxfId="46" priority="10" stopIfTrue="1" operator="notEqual">
      <formula>0</formula>
    </cfRule>
  </conditionalFormatting>
  <conditionalFormatting sqref="I86">
    <cfRule type="cellIs" dxfId="45"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542</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2"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2"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2"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2"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2"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47</v>
      </c>
    </row>
    <row r="18" spans="3:17">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c r="J20" s="94"/>
      <c r="K20" s="94"/>
      <c r="L20" s="94"/>
      <c r="M20" s="94"/>
      <c r="N20" s="94"/>
      <c r="O20" s="94"/>
      <c r="P20" s="94"/>
      <c r="Q20" s="94"/>
    </row>
    <row r="21" spans="3:17" s="15" customFormat="1" ht="11.25">
      <c r="C21" s="93" t="s">
        <v>471</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c r="J22" s="94"/>
      <c r="K22" s="94"/>
      <c r="L22" s="94"/>
      <c r="M22" s="94"/>
      <c r="N22" s="94"/>
      <c r="O22" s="94"/>
      <c r="P22" s="94"/>
      <c r="Q22" s="94"/>
    </row>
    <row r="23" spans="3:17">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c r="J24" s="94"/>
      <c r="K24" s="94"/>
      <c r="L24" s="94"/>
      <c r="M24" s="94"/>
      <c r="N24" s="94"/>
      <c r="O24" s="94"/>
      <c r="P24" s="94"/>
      <c r="Q24" s="94"/>
    </row>
    <row r="25" spans="3:17" ht="11.2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c r="J26" s="94"/>
      <c r="K26" s="94"/>
      <c r="L26" s="94"/>
      <c r="M26" s="94"/>
      <c r="N26" s="94"/>
      <c r="O26" s="94"/>
      <c r="P26" s="94"/>
      <c r="Q26" s="94"/>
    </row>
    <row r="27" spans="3:17" hidden="1" outlineLevel="2">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c r="D29" s="167" t="s">
        <v>472</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c r="J30" s="94"/>
      <c r="K30" s="94"/>
      <c r="L30" s="94"/>
      <c r="M30" s="94"/>
      <c r="N30" s="94"/>
      <c r="O30" s="94"/>
      <c r="P30" s="94"/>
      <c r="Q30" s="94"/>
    </row>
    <row r="31" spans="3:17" ht="11.2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c r="J32" s="94"/>
      <c r="K32" s="94"/>
      <c r="L32" s="94"/>
      <c r="M32" s="94"/>
      <c r="N32" s="94"/>
      <c r="O32" s="94"/>
      <c r="P32" s="94"/>
      <c r="Q32" s="94"/>
    </row>
    <row r="33" spans="3:17">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c r="J34" s="94"/>
      <c r="K34" s="94"/>
      <c r="L34" s="94"/>
      <c r="M34" s="94"/>
      <c r="N34" s="94"/>
      <c r="O34" s="94"/>
      <c r="P34" s="94"/>
      <c r="Q34" s="94"/>
    </row>
    <row r="35" spans="3:17" ht="11.2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c r="J36" s="94"/>
      <c r="K36" s="94"/>
      <c r="L36" s="94"/>
      <c r="M36" s="94"/>
      <c r="N36" s="94"/>
      <c r="O36" s="94"/>
      <c r="P36" s="94"/>
      <c r="Q36" s="94"/>
    </row>
    <row r="37" spans="3:17">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c r="J38" s="94"/>
      <c r="K38" s="94"/>
      <c r="L38" s="94"/>
      <c r="M38" s="94"/>
      <c r="N38" s="94"/>
      <c r="O38" s="94"/>
      <c r="P38" s="94"/>
      <c r="Q38" s="94"/>
    </row>
    <row r="39" spans="3:17" ht="12.75" thickBot="1">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row r="41" spans="3:17" ht="11.25">
      <c r="C41" s="14" t="s">
        <v>412</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c r="C43" s="161" t="s">
        <v>203</v>
      </c>
      <c r="D43" s="15"/>
    </row>
    <row r="44" spans="3:17" s="15" customFormat="1">
      <c r="C44" s="138">
        <v>1</v>
      </c>
      <c r="D44" s="214" t="str">
        <f>"All revenues and expenses are specified in "&amp;INDEX(LU_Denom,DD_TS_Denom)&amp;"."</f>
        <v>All revenues and expenses are specified in $Millions.</v>
      </c>
    </row>
    <row r="45" spans="3:17" s="15" customFormat="1">
      <c r="C45" s="138">
        <v>2</v>
      </c>
      <c r="D45" s="107" t="s">
        <v>14</v>
      </c>
    </row>
    <row r="47" spans="3:17">
      <c r="C47" s="106" t="str">
        <f>"Go to "&amp;BS_Fcast_TO!$B$1</f>
        <v>Go to Balance Sheet - Forecast Outputs</v>
      </c>
      <c r="D47" s="8"/>
      <c r="E47" s="8"/>
      <c r="F47" s="8"/>
      <c r="G47" s="8"/>
      <c r="H47" s="8"/>
      <c r="I47" s="8"/>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543</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2"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2"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2"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2"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2"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0</v>
      </c>
    </row>
    <row r="18" spans="3:17" ht="11.25">
      <c r="C18" s="93" t="s">
        <v>30</v>
      </c>
    </row>
    <row r="20" spans="3:17" hidden="1" outlineLevel="2">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c r="D22" s="167" t="s">
        <v>487</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c r="D23" s="167" t="s">
        <v>298</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c r="J26" s="94"/>
      <c r="K26" s="94"/>
      <c r="L26" s="94"/>
      <c r="M26" s="94"/>
      <c r="N26" s="94"/>
      <c r="O26" s="94"/>
      <c r="P26" s="94"/>
      <c r="Q26" s="94"/>
    </row>
    <row r="27" spans="3:17" ht="11.25">
      <c r="C27" s="93" t="s">
        <v>31</v>
      </c>
      <c r="J27" s="94"/>
      <c r="K27" s="94"/>
      <c r="L27" s="94"/>
      <c r="M27" s="94"/>
      <c r="N27" s="94"/>
      <c r="O27" s="94"/>
      <c r="P27" s="94"/>
      <c r="Q27" s="94"/>
    </row>
    <row r="28" spans="3:17">
      <c r="J28" s="94"/>
      <c r="K28" s="94"/>
      <c r="L28" s="94"/>
      <c r="M28" s="94"/>
      <c r="N28" s="94"/>
      <c r="O28" s="94"/>
      <c r="P28" s="94"/>
      <c r="Q28" s="94"/>
    </row>
    <row r="29" spans="3:17">
      <c r="D29" s="167" t="s">
        <v>455</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c r="D30" s="167" t="s">
        <v>473</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c r="J34" s="94"/>
      <c r="K34" s="94"/>
      <c r="L34" s="94"/>
      <c r="M34" s="94"/>
      <c r="N34" s="94"/>
      <c r="O34" s="94"/>
      <c r="P34" s="94"/>
      <c r="Q34" s="94"/>
    </row>
    <row r="35" spans="3:17" ht="11.2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c r="J36" s="94"/>
      <c r="K36" s="94"/>
      <c r="L36" s="94"/>
      <c r="M36" s="94"/>
      <c r="N36" s="94"/>
      <c r="O36" s="94"/>
      <c r="P36" s="94"/>
      <c r="Q36" s="94"/>
    </row>
    <row r="37" spans="3:17" ht="11.25">
      <c r="C37" s="93" t="s">
        <v>33</v>
      </c>
      <c r="J37" s="94"/>
      <c r="K37" s="94"/>
      <c r="L37" s="94"/>
      <c r="M37" s="94"/>
      <c r="N37" s="94"/>
      <c r="O37" s="94"/>
      <c r="P37" s="94"/>
      <c r="Q37" s="94"/>
    </row>
    <row r="38" spans="3:17">
      <c r="J38" s="94"/>
      <c r="K38" s="94"/>
      <c r="L38" s="94"/>
      <c r="M38" s="94"/>
      <c r="N38" s="94"/>
      <c r="O38" s="94"/>
      <c r="P38" s="94"/>
      <c r="Q38" s="94"/>
    </row>
    <row r="39" spans="3:17">
      <c r="D39" s="170" t="s">
        <v>299</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c r="D41" s="170" t="s">
        <v>478</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c r="J45" s="94"/>
      <c r="K45" s="94"/>
      <c r="L45" s="94"/>
      <c r="M45" s="94"/>
      <c r="N45" s="94"/>
      <c r="O45" s="94"/>
      <c r="P45" s="94"/>
      <c r="Q45" s="94"/>
    </row>
    <row r="46" spans="3:17" ht="11.25">
      <c r="C46" s="93" t="s">
        <v>35</v>
      </c>
      <c r="J46" s="94"/>
      <c r="K46" s="94"/>
      <c r="L46" s="94"/>
      <c r="M46" s="94"/>
      <c r="N46" s="94"/>
      <c r="O46" s="94"/>
      <c r="P46" s="94"/>
      <c r="Q46" s="94"/>
    </row>
    <row r="47" spans="3:17">
      <c r="J47" s="94"/>
      <c r="K47" s="94"/>
      <c r="L47" s="94"/>
      <c r="M47" s="94"/>
      <c r="N47" s="94"/>
      <c r="O47" s="94"/>
      <c r="P47" s="94"/>
      <c r="Q47" s="94"/>
    </row>
    <row r="48" spans="3:17">
      <c r="D48" s="167" t="s">
        <v>254</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c r="J52" s="94"/>
      <c r="K52" s="94"/>
      <c r="L52" s="94"/>
      <c r="M52" s="94"/>
      <c r="N52" s="94"/>
      <c r="O52" s="94"/>
      <c r="P52" s="94"/>
      <c r="Q52" s="94"/>
    </row>
    <row r="53" spans="2:17" ht="11.2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c r="J54" s="94"/>
      <c r="K54" s="94"/>
      <c r="L54" s="94"/>
      <c r="M54" s="94"/>
      <c r="N54" s="94"/>
      <c r="O54" s="94"/>
      <c r="P54" s="94"/>
      <c r="Q54" s="94"/>
    </row>
    <row r="55" spans="2:17" ht="12" thickBot="1">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c r="B56" s="15"/>
      <c r="C56" s="15"/>
      <c r="D56" s="15"/>
      <c r="J56" s="94"/>
      <c r="K56" s="94"/>
      <c r="L56" s="94"/>
      <c r="M56" s="94"/>
      <c r="N56" s="94"/>
      <c r="O56" s="94"/>
      <c r="P56" s="94"/>
      <c r="Q56" s="94"/>
    </row>
    <row r="57" spans="2:17" ht="11.25">
      <c r="C57" s="93" t="s">
        <v>38</v>
      </c>
      <c r="J57" s="94"/>
      <c r="K57" s="94"/>
      <c r="L57" s="94"/>
      <c r="M57" s="94"/>
      <c r="N57" s="94"/>
      <c r="O57" s="94"/>
      <c r="P57" s="94"/>
      <c r="Q57" s="94"/>
    </row>
    <row r="58" spans="2:17">
      <c r="J58" s="94"/>
      <c r="K58" s="94"/>
      <c r="L58" s="94"/>
      <c r="M58" s="94"/>
      <c r="N58" s="94"/>
      <c r="O58" s="94"/>
      <c r="P58" s="94"/>
      <c r="Q58" s="94"/>
    </row>
    <row r="59" spans="2:17">
      <c r="D59" s="107" t="s">
        <v>271</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c r="D60" s="170" t="s">
        <v>556</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c r="E61" s="170" t="s">
        <v>245</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c r="J65" s="94"/>
      <c r="K65" s="94"/>
      <c r="L65" s="94"/>
      <c r="M65" s="94"/>
      <c r="N65" s="94"/>
      <c r="O65" s="94"/>
      <c r="P65" s="94"/>
      <c r="Q65" s="94"/>
    </row>
    <row r="66" spans="3:17" ht="12" thickBot="1">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c r="J67" s="175"/>
      <c r="K67" s="175"/>
      <c r="L67" s="175"/>
      <c r="M67" s="175"/>
      <c r="N67" s="175"/>
      <c r="O67" s="175"/>
      <c r="P67" s="175"/>
      <c r="Q67" s="175"/>
    </row>
    <row r="68" spans="3:17" hidden="1" outlineLevel="2">
      <c r="D68" s="170" t="s">
        <v>563</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c r="D69" s="170" t="s">
        <v>564</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c r="C70" s="167" t="s">
        <v>414</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row r="72" spans="3:17" collapsed="1">
      <c r="C72" s="167" t="s">
        <v>419</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c r="C74" s="171" t="s">
        <v>203</v>
      </c>
      <c r="J74" s="175"/>
      <c r="K74" s="175"/>
      <c r="L74" s="175"/>
      <c r="M74" s="175"/>
      <c r="N74" s="175"/>
      <c r="O74" s="175"/>
      <c r="P74" s="175"/>
      <c r="Q74" s="175"/>
    </row>
    <row r="75" spans="3:17" s="15" customFormat="1">
      <c r="C75" s="138">
        <v>1</v>
      </c>
      <c r="D75" s="214" t="str">
        <f>"All balances are specified in "&amp;INDEX(LU_Denom,DD_TS_Denom)&amp;"."</f>
        <v>All balances are specified in $Millions.</v>
      </c>
    </row>
    <row r="76" spans="3:17" s="15" customFormat="1"/>
    <row r="77" spans="3:17">
      <c r="C77" s="106" t="str">
        <f>"Go to "&amp;Err_Chk_11_Hdg</f>
        <v>Go to Income Statement - Forecast Outputs</v>
      </c>
      <c r="D77" s="8"/>
      <c r="E77" s="8"/>
      <c r="F77" s="8"/>
      <c r="G77" s="8"/>
      <c r="H77" s="8"/>
      <c r="I77" s="8"/>
    </row>
    <row r="78" spans="3:17">
      <c r="C78" s="106" t="str">
        <f>"Go to "&amp;Err_Chk_14_Hdg</f>
        <v>Go to Cash Flow Statement - Forecast Outputs</v>
      </c>
      <c r="D78" s="8"/>
      <c r="E78" s="8"/>
      <c r="F78" s="8"/>
      <c r="G78" s="8"/>
      <c r="H78" s="8"/>
    </row>
  </sheetData>
  <mergeCells count="1">
    <mergeCell ref="B3:F3"/>
  </mergeCells>
  <conditionalFormatting sqref="J68:Q70 I70 I72:Q72">
    <cfRule type="cellIs" dxfId="42" priority="2" stopIfTrue="1" operator="notEqual">
      <formula>0</formula>
    </cfRule>
  </conditionalFormatting>
  <conditionalFormatting sqref="C70 C72">
    <cfRule type="expression" dxfId="41"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544</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2"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2"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2"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2"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2"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424</v>
      </c>
    </row>
    <row r="18" spans="3:17" ht="11.25">
      <c r="C18" s="93" t="s">
        <v>15</v>
      </c>
    </row>
    <row r="20" spans="3:17" hidden="1" outlineLevel="2">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c r="E21" s="107" t="s">
        <v>420</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c r="D22" s="170" t="s">
        <v>238</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c r="D25" s="5"/>
      <c r="E25" s="107" t="s">
        <v>421</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c r="D26" s="170" t="s">
        <v>243</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c r="D29" s="170" t="s">
        <v>492</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c r="D30" s="170" t="s">
        <v>493</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c r="J32" s="94"/>
      <c r="K32" s="94"/>
      <c r="L32" s="94"/>
      <c r="M32" s="94"/>
      <c r="N32" s="94"/>
      <c r="O32" s="94"/>
      <c r="P32" s="94"/>
      <c r="Q32" s="94"/>
    </row>
    <row r="33" spans="3:17" ht="11.25">
      <c r="C33" s="93" t="s">
        <v>16</v>
      </c>
      <c r="J33" s="94"/>
      <c r="K33" s="94"/>
      <c r="L33" s="94"/>
      <c r="M33" s="94"/>
      <c r="N33" s="94"/>
      <c r="O33" s="94"/>
      <c r="P33" s="94"/>
      <c r="Q33" s="94"/>
    </row>
    <row r="34" spans="3:17">
      <c r="J34" s="94"/>
      <c r="K34" s="94"/>
      <c r="L34" s="94"/>
      <c r="M34" s="94"/>
      <c r="N34" s="94"/>
      <c r="O34" s="94"/>
      <c r="P34" s="94"/>
      <c r="Q34" s="94"/>
    </row>
    <row r="35" spans="3:17">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c r="D37" s="167" t="s">
        <v>494</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c r="D38" s="167" t="s">
        <v>495</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c r="J40" s="94"/>
      <c r="K40" s="94"/>
      <c r="L40" s="94"/>
      <c r="M40" s="94"/>
      <c r="N40" s="94"/>
      <c r="O40" s="94"/>
      <c r="P40" s="94"/>
      <c r="Q40" s="94"/>
    </row>
    <row r="41" spans="3:17" ht="11.25">
      <c r="C41" s="93" t="s">
        <v>17</v>
      </c>
      <c r="J41" s="94"/>
      <c r="K41" s="94"/>
      <c r="L41" s="94"/>
      <c r="M41" s="94"/>
      <c r="N41" s="94"/>
      <c r="O41" s="94"/>
      <c r="P41" s="94"/>
      <c r="Q41" s="94"/>
    </row>
    <row r="42" spans="3:17">
      <c r="J42" s="94"/>
      <c r="K42" s="94"/>
      <c r="L42" s="94"/>
      <c r="M42" s="94"/>
      <c r="N42" s="94"/>
      <c r="O42" s="94"/>
      <c r="P42" s="94"/>
      <c r="Q42" s="94"/>
    </row>
    <row r="43" spans="3:17">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c r="D48" s="170" t="s">
        <v>558</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c r="J50" s="94"/>
      <c r="K50" s="94"/>
      <c r="L50" s="94"/>
      <c r="M50" s="94"/>
      <c r="N50" s="94"/>
      <c r="O50" s="94"/>
      <c r="P50" s="94"/>
      <c r="Q50" s="94"/>
    </row>
    <row r="51" spans="2:17" ht="12" thickBot="1">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row r="54" spans="2:17" ht="12.75">
      <c r="B54" s="119" t="s">
        <v>425</v>
      </c>
    </row>
    <row r="56" spans="2:17" ht="11.25">
      <c r="C56" s="120" t="str">
        <f>C18</f>
        <v>Cash Flow from Operating Activities</v>
      </c>
    </row>
    <row r="58" spans="2:17">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c r="C70" s="120" t="str">
        <f>C33</f>
        <v>Cash Flow from Investing Activities</v>
      </c>
    </row>
    <row r="72" spans="3:17">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c r="C78" s="120" t="str">
        <f>C41</f>
        <v>Cash Flow from Financing Activities</v>
      </c>
    </row>
    <row r="80" spans="3:17">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row r="91" spans="2:17" ht="12.75">
      <c r="B91" s="119" t="s">
        <v>426</v>
      </c>
    </row>
    <row r="93" spans="2:17">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c r="D99" s="240"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c r="D104" s="108" t="s">
        <v>280</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row r="108" spans="4:17" hidden="1" outlineLevel="2">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c r="D114" s="107" t="s">
        <v>410</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c r="C116" s="161" t="s">
        <v>203</v>
      </c>
    </row>
    <row r="117" spans="3:17" s="15" customFormat="1">
      <c r="C117" s="138">
        <v>1</v>
      </c>
      <c r="D117" s="116" t="str">
        <f>"All values are stated in "&amp;INDEX(LU_Denom,DD_TS_Denom)&amp;" unless stated otherwise."</f>
        <v>All values are stated in $Millions unless stated otherwise.</v>
      </c>
    </row>
    <row r="118" spans="3:17" s="15" customFormat="1"/>
    <row r="119" spans="3:17" s="15" customFormat="1">
      <c r="C119" s="106" t="str">
        <f>"Go to "&amp;Err_Chk_11_Hdg</f>
        <v>Go to Income Statement - Forecast Outputs</v>
      </c>
      <c r="D119" s="8"/>
      <c r="E119" s="8"/>
      <c r="F119" s="8"/>
      <c r="G119" s="8"/>
      <c r="H119" s="8"/>
      <c r="I119" s="8"/>
    </row>
    <row r="120" spans="3:17" s="15" customFormat="1">
      <c r="C120" s="106" t="str">
        <f>"Go to "&amp;BS_Fcast_TO!$B$1</f>
        <v>Go to Balance Sheet - Forecast Outputs</v>
      </c>
      <c r="D120" s="8"/>
      <c r="E120" s="8"/>
      <c r="F120" s="8"/>
      <c r="G120" s="8"/>
      <c r="H120" s="8"/>
      <c r="I120" s="8"/>
    </row>
  </sheetData>
  <mergeCells count="1">
    <mergeCell ref="B3:F3"/>
  </mergeCells>
  <conditionalFormatting sqref="J108:Q114 I114">
    <cfRule type="cellIs" dxfId="40" priority="2" stopIfTrue="1" operator="notEqual">
      <formula>0</formula>
    </cfRule>
  </conditionalFormatting>
  <conditionalFormatting sqref="D114">
    <cfRule type="expression" dxfId="39"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548</v>
      </c>
    </row>
    <row r="10" spans="3:7" ht="16.5">
      <c r="C10" s="27" t="s">
        <v>512</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205" t="s">
        <v>549</v>
      </c>
    </row>
    <row r="19" spans="3:3">
      <c r="C19" s="177"/>
    </row>
    <row r="20" spans="3:3">
      <c r="C20" s="177"/>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552</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IS_Hist_TA!B16</f>
        <v>Income Statement</v>
      </c>
    </row>
    <row r="17" spans="3:17" s="24" customFormat="1"/>
    <row r="18" spans="3:17" s="24" customFormat="1">
      <c r="D18" s="203" t="str">
        <f>IS_Hist_TA!D18</f>
        <v>Revenue</v>
      </c>
      <c r="J18" s="219">
        <f>IS_Hist_TO!J18+IS_Fcast_TO!J18</f>
        <v>125</v>
      </c>
      <c r="K18" s="219">
        <f>IS_Hist_TO!K18+IS_Fcast_TO!K18</f>
        <v>128.125</v>
      </c>
      <c r="L18" s="219">
        <f>IS_Hist_TO!L18+IS_Fcast_TO!L18</f>
        <v>131.328125</v>
      </c>
      <c r="M18" s="219">
        <f>IS_Hist_TO!M18+IS_Fcast_TO!M18</f>
        <v>134.611328125</v>
      </c>
      <c r="N18" s="219">
        <f>IS_Hist_TO!N18+IS_Fcast_TO!N18</f>
        <v>137.97661132812499</v>
      </c>
      <c r="O18" s="219">
        <f>IS_Hist_TO!O18+IS_Fcast_TO!O18</f>
        <v>141.4260266113281</v>
      </c>
      <c r="P18" s="219">
        <f>IS_Hist_TO!P18+IS_Fcast_TO!P18</f>
        <v>144.96167727661128</v>
      </c>
      <c r="Q18" s="219">
        <f>IS_Hist_TO!Q18+IS_Fcast_TO!Q18</f>
        <v>148.58571920852654</v>
      </c>
    </row>
    <row r="19" spans="3:17" s="24" customFormat="1">
      <c r="D19" s="203" t="str">
        <f>IS_Hist_TA!D19</f>
        <v>Cost of Goods Sold</v>
      </c>
      <c r="J19" s="219">
        <f>IS_Hist_TO!J19+IS_Fcast_TO!J19</f>
        <v>-25</v>
      </c>
      <c r="K19" s="219">
        <f>IS_Hist_TO!K19+IS_Fcast_TO!K19</f>
        <v>-25.624999999999996</v>
      </c>
      <c r="L19" s="219">
        <f>IS_Hist_TO!L19+IS_Fcast_TO!L19</f>
        <v>-26.265624999999993</v>
      </c>
      <c r="M19" s="219">
        <f>IS_Hist_TO!M19+IS_Fcast_TO!M19</f>
        <v>-26.922265624999991</v>
      </c>
      <c r="N19" s="219">
        <f>IS_Hist_TO!N19+IS_Fcast_TO!N19</f>
        <v>-27.59532226562499</v>
      </c>
      <c r="O19" s="219">
        <f>IS_Hist_TO!O19+IS_Fcast_TO!O19</f>
        <v>-28.285205322265611</v>
      </c>
      <c r="P19" s="219">
        <f>IS_Hist_TO!P19+IS_Fcast_TO!P19</f>
        <v>-28.992335455322248</v>
      </c>
      <c r="Q19" s="219">
        <f>IS_Hist_TO!Q19+IS_Fcast_TO!Q19</f>
        <v>-29.717143841705301</v>
      </c>
    </row>
    <row r="20" spans="3:17" s="24" customFormat="1">
      <c r="J20" s="143"/>
      <c r="K20" s="143"/>
      <c r="L20" s="143"/>
      <c r="M20" s="143"/>
      <c r="N20" s="143"/>
      <c r="O20" s="143"/>
      <c r="P20" s="143"/>
      <c r="Q20" s="143"/>
    </row>
    <row r="21" spans="3:17" s="24" customFormat="1" ht="11.25">
      <c r="C21" s="216" t="str">
        <f>IS_Hist_TA!C21</f>
        <v>Gross Margin</v>
      </c>
      <c r="J21" s="211">
        <f t="shared" ref="J21:Q21" si="8">J18+J19</f>
        <v>100</v>
      </c>
      <c r="K21" s="211">
        <f t="shared" si="8"/>
        <v>102.5</v>
      </c>
      <c r="L21" s="211">
        <f t="shared" si="8"/>
        <v>105.0625</v>
      </c>
      <c r="M21" s="211">
        <f t="shared" si="8"/>
        <v>107.68906250000001</v>
      </c>
      <c r="N21" s="211">
        <f t="shared" si="8"/>
        <v>110.3812890625</v>
      </c>
      <c r="O21" s="211">
        <f t="shared" si="8"/>
        <v>113.14082128906249</v>
      </c>
      <c r="P21" s="211">
        <f t="shared" si="8"/>
        <v>115.96934182128904</v>
      </c>
      <c r="Q21" s="211">
        <f t="shared" si="8"/>
        <v>118.86857536682123</v>
      </c>
    </row>
    <row r="22" spans="3:17" s="24" customFormat="1">
      <c r="J22" s="143"/>
      <c r="K22" s="143"/>
      <c r="L22" s="143"/>
      <c r="M22" s="143"/>
      <c r="N22" s="143"/>
      <c r="O22" s="143"/>
      <c r="P22" s="143"/>
      <c r="Q22" s="143"/>
    </row>
    <row r="23" spans="3:17" s="24" customFormat="1">
      <c r="D23" s="203" t="str">
        <f>IS_Hist_TA!D23</f>
        <v>Operating Expenditure</v>
      </c>
      <c r="J23" s="219">
        <f>IS_Hist_TO!J23+IS_Fcast_TO!J23</f>
        <v>-40</v>
      </c>
      <c r="K23" s="219">
        <f>IS_Hist_TO!K23+IS_Fcast_TO!K23</f>
        <v>-41</v>
      </c>
      <c r="L23" s="219">
        <f>IS_Hist_TO!L23+IS_Fcast_TO!L23</f>
        <v>-42.024999999999999</v>
      </c>
      <c r="M23" s="219">
        <f>IS_Hist_TO!M23+IS_Fcast_TO!M23</f>
        <v>-43.075624999999995</v>
      </c>
      <c r="N23" s="219">
        <f>IS_Hist_TO!N23+IS_Fcast_TO!N23</f>
        <v>-44.152515624999992</v>
      </c>
      <c r="O23" s="219">
        <f>IS_Hist_TO!O23+IS_Fcast_TO!O23</f>
        <v>-45.256328515624986</v>
      </c>
      <c r="P23" s="219">
        <f>IS_Hist_TO!P23+IS_Fcast_TO!P23</f>
        <v>-46.387736728515605</v>
      </c>
      <c r="Q23" s="219">
        <f>IS_Hist_TO!Q23+IS_Fcast_TO!Q23</f>
        <v>-47.547430146728495</v>
      </c>
    </row>
    <row r="24" spans="3:17" s="24" customFormat="1">
      <c r="J24" s="143"/>
      <c r="K24" s="143"/>
      <c r="L24" s="143"/>
      <c r="M24" s="143"/>
      <c r="N24" s="143"/>
      <c r="O24" s="143"/>
      <c r="P24" s="143"/>
      <c r="Q24" s="143"/>
    </row>
    <row r="25" spans="3:17" s="24" customFormat="1" ht="11.25">
      <c r="C25" s="216" t="str">
        <f>IS_Hist_TA!C25</f>
        <v>EBITDA</v>
      </c>
      <c r="J25" s="211">
        <f t="shared" ref="J25:Q25" si="9">J21+J23</f>
        <v>60</v>
      </c>
      <c r="K25" s="211">
        <f t="shared" si="9"/>
        <v>61.5</v>
      </c>
      <c r="L25" s="211">
        <f t="shared" si="9"/>
        <v>63.037500000000001</v>
      </c>
      <c r="M25" s="211">
        <f t="shared" si="9"/>
        <v>64.613437500000003</v>
      </c>
      <c r="N25" s="211">
        <f t="shared" si="9"/>
        <v>66.22877343750001</v>
      </c>
      <c r="O25" s="211">
        <f t="shared" si="9"/>
        <v>67.884492773437501</v>
      </c>
      <c r="P25" s="211">
        <f t="shared" si="9"/>
        <v>69.58160509277343</v>
      </c>
      <c r="Q25" s="211">
        <f t="shared" si="9"/>
        <v>71.321145220092745</v>
      </c>
    </row>
    <row r="26" spans="3:17" s="24" customFormat="1">
      <c r="J26" s="143"/>
      <c r="K26" s="143"/>
      <c r="L26" s="143"/>
      <c r="M26" s="143"/>
      <c r="N26" s="143"/>
      <c r="O26" s="143"/>
      <c r="P26" s="143"/>
      <c r="Q26" s="143"/>
    </row>
    <row r="27" spans="3:17" s="24" customFormat="1" hidden="1" outlineLevel="2">
      <c r="E27" s="203"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203"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203" t="str">
        <f>IS_Hist_TA!D29</f>
        <v>Depreciation &amp; Amortization</v>
      </c>
      <c r="J29" s="219">
        <f>IS_Hist_TO!J29+IS_Fcast_TO!J29</f>
        <v>-14.125</v>
      </c>
      <c r="K29" s="219">
        <f>IS_Hist_TO!K29+IS_Fcast_TO!K29</f>
        <v>-14.478124999999999</v>
      </c>
      <c r="L29" s="219">
        <f>IS_Hist_TO!L29+IS_Fcast_TO!L29</f>
        <v>-14.840078124999996</v>
      </c>
      <c r="M29" s="219">
        <f>IS_Hist_TO!M29+IS_Fcast_TO!M29</f>
        <v>-15.211080078124994</v>
      </c>
      <c r="N29" s="219">
        <f>IS_Hist_TO!N29+IS_Fcast_TO!N29</f>
        <v>-15.591357080078117</v>
      </c>
      <c r="O29" s="219">
        <f>IS_Hist_TO!O29+IS_Fcast_TO!O29</f>
        <v>-15.981141007080069</v>
      </c>
      <c r="P29" s="219">
        <f>IS_Hist_TO!P29+IS_Fcast_TO!P29</f>
        <v>-16.38066953225707</v>
      </c>
      <c r="Q29" s="219">
        <f>IS_Hist_TO!Q29+IS_Fcast_TO!Q29</f>
        <v>-16.790186270563492</v>
      </c>
    </row>
    <row r="30" spans="3:17" s="24" customFormat="1">
      <c r="J30" s="143"/>
      <c r="K30" s="143"/>
      <c r="L30" s="143"/>
      <c r="M30" s="143"/>
      <c r="N30" s="143"/>
      <c r="O30" s="143"/>
      <c r="P30" s="143"/>
      <c r="Q30" s="143"/>
    </row>
    <row r="31" spans="3:17" s="24" customFormat="1" ht="11.25">
      <c r="C31" s="216" t="str">
        <f>IS_Hist_TA!C31</f>
        <v>EBIT</v>
      </c>
      <c r="J31" s="211">
        <f t="shared" ref="J31:Q31" si="10">J25+J29</f>
        <v>45.875</v>
      </c>
      <c r="K31" s="211">
        <f t="shared" si="10"/>
        <v>47.021875000000001</v>
      </c>
      <c r="L31" s="211">
        <f t="shared" si="10"/>
        <v>48.197421875000003</v>
      </c>
      <c r="M31" s="211">
        <f t="shared" si="10"/>
        <v>49.40235742187501</v>
      </c>
      <c r="N31" s="211">
        <f t="shared" si="10"/>
        <v>50.637416357421891</v>
      </c>
      <c r="O31" s="211">
        <f t="shared" si="10"/>
        <v>51.903351766357432</v>
      </c>
      <c r="P31" s="211">
        <f t="shared" si="10"/>
        <v>53.200935560516356</v>
      </c>
      <c r="Q31" s="211">
        <f t="shared" si="10"/>
        <v>54.53095894952925</v>
      </c>
    </row>
    <row r="32" spans="3:17" s="24" customFormat="1">
      <c r="J32" s="143"/>
      <c r="K32" s="143"/>
      <c r="L32" s="143"/>
      <c r="M32" s="143"/>
      <c r="N32" s="143"/>
      <c r="O32" s="143"/>
      <c r="P32" s="143"/>
      <c r="Q32" s="143"/>
    </row>
    <row r="33" spans="3:17" s="24" customFormat="1">
      <c r="D33" s="203" t="str">
        <f>IS_Hist_TA!D33</f>
        <v>Interest Expense</v>
      </c>
      <c r="J33" s="219">
        <f>IS_Hist_TO!J33+IS_Fcast_TO!J33</f>
        <v>-3.25</v>
      </c>
      <c r="K33" s="219">
        <f>IS_Hist_TO!K33+IS_Fcast_TO!K33</f>
        <v>-3.25</v>
      </c>
      <c r="L33" s="219">
        <f>IS_Hist_TO!L33+IS_Fcast_TO!L33</f>
        <v>-3.25</v>
      </c>
      <c r="M33" s="219">
        <f ca="1">IS_Hist_TO!M33+IS_Fcast_TO!M33</f>
        <v>-3.25</v>
      </c>
      <c r="N33" s="219">
        <f ca="1">IS_Hist_TO!N33+IS_Fcast_TO!N33</f>
        <v>-3.4125000000000001</v>
      </c>
      <c r="O33" s="219">
        <f ca="1">IS_Hist_TO!O33+IS_Fcast_TO!O33</f>
        <v>-3.5750000000000002</v>
      </c>
      <c r="P33" s="219">
        <f ca="1">IS_Hist_TO!P33+IS_Fcast_TO!P33</f>
        <v>-3.5750000000000002</v>
      </c>
      <c r="Q33" s="219">
        <f ca="1">IS_Hist_TO!Q33+IS_Fcast_TO!Q33</f>
        <v>-3.5750000000000002</v>
      </c>
    </row>
    <row r="34" spans="3:17" s="24" customFormat="1">
      <c r="J34" s="143"/>
      <c r="K34" s="143"/>
      <c r="L34" s="143"/>
      <c r="M34" s="143"/>
      <c r="N34" s="143"/>
      <c r="O34" s="143"/>
      <c r="P34" s="143"/>
      <c r="Q34" s="143"/>
    </row>
    <row r="35" spans="3:17" s="24" customFormat="1" ht="11.25">
      <c r="C35" s="216" t="str">
        <f>IS_Hist_TA!C35</f>
        <v>Net Profit Before Tax</v>
      </c>
      <c r="J35" s="211">
        <f t="shared" ref="J35:Q35" si="11">J31+J33</f>
        <v>42.625</v>
      </c>
      <c r="K35" s="211">
        <f t="shared" si="11"/>
        <v>43.771875000000001</v>
      </c>
      <c r="L35" s="211">
        <f t="shared" si="11"/>
        <v>44.947421875000003</v>
      </c>
      <c r="M35" s="211">
        <f t="shared" ca="1" si="11"/>
        <v>46.15235742187501</v>
      </c>
      <c r="N35" s="211">
        <f t="shared" ca="1" si="11"/>
        <v>47.22491635742189</v>
      </c>
      <c r="O35" s="211">
        <f t="shared" ca="1" si="11"/>
        <v>48.328351766357429</v>
      </c>
      <c r="P35" s="211">
        <f t="shared" ca="1" si="11"/>
        <v>49.625935560516353</v>
      </c>
      <c r="Q35" s="211">
        <f t="shared" ca="1" si="11"/>
        <v>50.955958949529247</v>
      </c>
    </row>
    <row r="36" spans="3:17" s="24" customFormat="1">
      <c r="J36" s="143"/>
      <c r="K36" s="143"/>
      <c r="L36" s="143"/>
      <c r="M36" s="143"/>
      <c r="N36" s="143"/>
      <c r="O36" s="143"/>
      <c r="P36" s="143"/>
      <c r="Q36" s="143"/>
    </row>
    <row r="37" spans="3:17" s="24" customFormat="1">
      <c r="D37" s="203" t="str">
        <f>IS_Hist_TA!D37</f>
        <v>Tax Expense / (Benefit)</v>
      </c>
      <c r="J37" s="219">
        <f>IS_Hist_TO!J37+IS_Fcast_TO!J37</f>
        <v>-12.7875</v>
      </c>
      <c r="K37" s="219">
        <f>IS_Hist_TO!K37+IS_Fcast_TO!K37</f>
        <v>-13.131562499999999</v>
      </c>
      <c r="L37" s="219">
        <f>IS_Hist_TO!L37+IS_Fcast_TO!L37</f>
        <v>-13.4842265625</v>
      </c>
      <c r="M37" s="219">
        <f ca="1">IS_Hist_TO!M37+IS_Fcast_TO!M37</f>
        <v>-13.845707226562503</v>
      </c>
      <c r="N37" s="219">
        <f ca="1">IS_Hist_TO!N37+IS_Fcast_TO!N37</f>
        <v>-14.167474907226566</v>
      </c>
      <c r="O37" s="219">
        <f ca="1">IS_Hist_TO!O37+IS_Fcast_TO!O37</f>
        <v>-14.498505529907227</v>
      </c>
      <c r="P37" s="219">
        <f ca="1">IS_Hist_TO!P37+IS_Fcast_TO!P37</f>
        <v>-14.887780668154907</v>
      </c>
      <c r="Q37" s="219">
        <f ca="1">IS_Hist_TO!Q37+IS_Fcast_TO!Q37</f>
        <v>-15.286787684858773</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Q39" si="12">J35+J37</f>
        <v>29.837499999999999</v>
      </c>
      <c r="K39" s="213">
        <f t="shared" si="12"/>
        <v>30.6403125</v>
      </c>
      <c r="L39" s="213">
        <f t="shared" si="12"/>
        <v>31.463195312500005</v>
      </c>
      <c r="M39" s="213">
        <f t="shared" ca="1" si="12"/>
        <v>32.306650195312507</v>
      </c>
      <c r="N39" s="213">
        <f t="shared" ca="1" si="12"/>
        <v>33.057441450195327</v>
      </c>
      <c r="O39" s="213">
        <f t="shared" ca="1" si="12"/>
        <v>33.829846236450202</v>
      </c>
      <c r="P39" s="213">
        <f t="shared" ca="1" si="12"/>
        <v>34.73815489236145</v>
      </c>
      <c r="Q39" s="213">
        <f t="shared" ca="1" si="12"/>
        <v>35.669171264670474</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202" t="s">
        <v>539</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 min="13" max="13" width="12.83203125" customWidth="1"/>
  </cols>
  <sheetData>
    <row r="1" spans="1:17" ht="18">
      <c r="B1" s="1" t="s">
        <v>551</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c r="M18" s="238"/>
    </row>
    <row r="19" spans="3:17" s="24" customFormat="1" ht="11.25">
      <c r="C19" s="216"/>
    </row>
    <row r="20" spans="3:17" s="15" customFormat="1" hidden="1" outlineLevel="2">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c r="D22" s="203" t="str">
        <f>BS_Hist_TA!D22</f>
        <v>Cash at Bank</v>
      </c>
      <c r="I22" s="219">
        <f>IF(ISBLANK(I$12),BS_Hist_TO!$I$22,SUM(I20:I21))</f>
        <v>5</v>
      </c>
      <c r="J22" s="219">
        <f>IF(ISBLANK(J$12),BS_Hist_TO!$I$22,SUM(J20:J21))</f>
        <v>7.5</v>
      </c>
      <c r="K22" s="219">
        <f>IF(ISBLANK(K$12),BS_Hist_TO!$I$22,SUM(K20:K21))</f>
        <v>12.148336900684967</v>
      </c>
      <c r="L22" s="219">
        <f>IF(ISBLANK(L$12),BS_Hist_TO!$I$22,SUM(L20:L21))</f>
        <v>24.635307976188827</v>
      </c>
      <c r="M22" s="219">
        <f ca="1">IF(ISBLANK(M$12),BS_Hist_TO!$I$22,SUM(M20:M21))</f>
        <v>37.849752117669134</v>
      </c>
      <c r="N22" s="219">
        <f ca="1">IF(ISBLANK(N$12),BS_Hist_TO!$I$22,SUM(N20:N21))</f>
        <v>56.014020321295796</v>
      </c>
      <c r="O22" s="219">
        <f ca="1">IF(ISBLANK(O$12),BS_Hist_TO!$I$22,SUM(O20:O21))</f>
        <v>69.479098355013136</v>
      </c>
      <c r="P22" s="219">
        <f ca="1">IF(ISBLANK(P$12),BS_Hist_TO!$I$22,SUM(P20:P21))</f>
        <v>83.366715156101776</v>
      </c>
      <c r="Q22" s="219">
        <f ca="1">IF(ISBLANK(Q$12),BS_Hist_TO!$I$22,SUM(Q20:Q21))</f>
        <v>97.615800948747676</v>
      </c>
    </row>
    <row r="23" spans="3:17" s="24" customFormat="1">
      <c r="D23" s="203" t="str">
        <f>BS_Hist_TA!D23</f>
        <v>Accounts Receivable</v>
      </c>
      <c r="I23" s="219">
        <f>IF(OR(ISBLANK(I$12),I$12&lt;=TS_Data_Full_Pers),BS_Hist_TO!I23,BS_Fcast_TO!I23)</f>
        <v>10.273972602739725</v>
      </c>
      <c r="J23" s="219">
        <f>IF(OR(ISBLANK(J$12),J$12&lt;=TS_Data_Full_Pers),BS_Hist_TO!J23,BS_Fcast_TO!J23)</f>
        <v>10.273972602739725</v>
      </c>
      <c r="K23" s="219">
        <f>IF(OR(ISBLANK(K$12),K$12&lt;=TS_Data_Full_Pers),BS_Hist_TO!K23,BS_Fcast_TO!K23)</f>
        <v>10.530821917808218</v>
      </c>
      <c r="L23" s="219">
        <f>IF(OR(ISBLANK(L$12),L$12&lt;=TS_Data_Full_Pers),BS_Hist_TO!L23,BS_Fcast_TO!L23)</f>
        <v>10.764600409836065</v>
      </c>
      <c r="M23" s="219">
        <f>IF(OR(ISBLANK(M$12),M$12&lt;=TS_Data_Full_Pers),BS_Hist_TO!M23,BS_Fcast_TO!M23)</f>
        <v>11.063944777397261</v>
      </c>
      <c r="N23" s="219">
        <f>IF(OR(ISBLANK(N$12),N$12&lt;=TS_Data_Full_Pers),BS_Hist_TO!N23,BS_Fcast_TO!N23)</f>
        <v>11.340543396832192</v>
      </c>
      <c r="O23" s="219">
        <f>IF(OR(ISBLANK(O$12),O$12&lt;=TS_Data_Full_Pers),BS_Hist_TO!O23,BS_Fcast_TO!O23)</f>
        <v>11.624056981752995</v>
      </c>
      <c r="P23" s="219">
        <f>IF(OR(ISBLANK(P$12),P$12&lt;=TS_Data_Full_Pers),BS_Hist_TO!P23,BS_Fcast_TO!P23)</f>
        <v>11.882104694804204</v>
      </c>
      <c r="Q23" s="219">
        <f>IF(OR(ISBLANK(Q$12),Q$12&lt;=TS_Data_Full_Pers),BS_Hist_TO!Q23,BS_Fcast_TO!Q23)</f>
        <v>12.212524866454237</v>
      </c>
    </row>
    <row r="24" spans="3:17" s="24" customFormat="1">
      <c r="D24" s="203"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c r="D25" s="179" t="str">
        <f>BS_Hist_TA!D25</f>
        <v>Total Current Assets</v>
      </c>
      <c r="I25" s="225">
        <f>I22+SUM(I23:I24)</f>
        <v>18.273972602739725</v>
      </c>
      <c r="J25" s="225">
        <f>J22+SUM(J23:J24)</f>
        <v>20.773972602739725</v>
      </c>
      <c r="K25" s="225">
        <f t="shared" ref="K25:Q25" si="9">K22+SUM(K23:K24)</f>
        <v>26.679158818493185</v>
      </c>
      <c r="L25" s="225">
        <f t="shared" si="9"/>
        <v>40.39990838602489</v>
      </c>
      <c r="M25" s="225">
        <f t="shared" ca="1" si="9"/>
        <v>54.913696895066394</v>
      </c>
      <c r="N25" s="225">
        <f t="shared" ca="1" si="9"/>
        <v>74.354563718127991</v>
      </c>
      <c r="O25" s="225">
        <f t="shared" ca="1" si="9"/>
        <v>89.103155336766122</v>
      </c>
      <c r="P25" s="225">
        <f t="shared" ca="1" si="9"/>
        <v>104.24881985090599</v>
      </c>
      <c r="Q25" s="225">
        <f t="shared" ca="1" si="9"/>
        <v>119.82832581520191</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203" t="str">
        <f>BS_Hist_TA!D29</f>
        <v>Assets</v>
      </c>
      <c r="I29" s="219">
        <f>IF(OR(ISBLANK(I$12),I$12&lt;=TS_Data_Full_Pers),BS_Hist_TO!I29,BS_Fcast_TO!I29)</f>
        <v>146.5</v>
      </c>
      <c r="J29" s="219">
        <f>IF(OR(ISBLANK(J$12),J$12&lt;=TS_Data_Full_Pers),BS_Hist_TO!J29,BS_Fcast_TO!J29)</f>
        <v>146.5</v>
      </c>
      <c r="K29" s="219">
        <f>IF(OR(ISBLANK(K$12),K$12&lt;=TS_Data_Full_Pers),BS_Hist_TO!K29,BS_Fcast_TO!K29)</f>
        <v>148.03749999999999</v>
      </c>
      <c r="L29" s="219">
        <f>IF(OR(ISBLANK(L$12),L$12&lt;=TS_Data_Full_Pers),BS_Hist_TO!L29,BS_Fcast_TO!L29)</f>
        <v>149.6134375</v>
      </c>
      <c r="M29" s="219">
        <f ca="1">IF(OR(ISBLANK(M$12),M$12&lt;=TS_Data_Full_Pers),BS_Hist_TO!M29,BS_Fcast_TO!M29)</f>
        <v>151.22877343750002</v>
      </c>
      <c r="N29" s="219">
        <f ca="1">IF(OR(ISBLANK(N$12),N$12&lt;=TS_Data_Full_Pers),BS_Hist_TO!N29,BS_Fcast_TO!N29)</f>
        <v>152.88449277343753</v>
      </c>
      <c r="O29" s="219">
        <f ca="1">IF(OR(ISBLANK(O$12),O$12&lt;=TS_Data_Full_Pers),BS_Hist_TO!O29,BS_Fcast_TO!O29)</f>
        <v>154.58160509277349</v>
      </c>
      <c r="P29" s="219">
        <f ca="1">IF(OR(ISBLANK(P$12),P$12&lt;=TS_Data_Full_Pers),BS_Hist_TO!P29,BS_Fcast_TO!P29)</f>
        <v>156.32114522009283</v>
      </c>
      <c r="Q29" s="219">
        <f ca="1">IF(OR(ISBLANK(Q$12),Q$12&lt;=TS_Data_Full_Pers),BS_Hist_TO!Q29,BS_Fcast_TO!Q29)</f>
        <v>158.10417385059515</v>
      </c>
    </row>
    <row r="30" spans="3:17" s="24" customFormat="1">
      <c r="D30" s="203" t="str">
        <f>BS_Hist_TA!D30</f>
        <v>Intangibles</v>
      </c>
      <c r="I30" s="219">
        <f>IF(OR(ISBLANK(I$12),I$12&lt;=TS_Data_Full_Pers),BS_Hist_TO!I30,BS_Fcast_TO!I30)</f>
        <v>13.375</v>
      </c>
      <c r="J30" s="219">
        <f>IF(OR(ISBLANK(J$12),J$12&lt;=TS_Data_Full_Pers),BS_Hist_TO!J30,BS_Fcast_TO!J30)</f>
        <v>13.375</v>
      </c>
      <c r="K30" s="219">
        <f>IF(OR(ISBLANK(K$12),K$12&lt;=TS_Data_Full_Pers),BS_Hist_TO!K30,BS_Fcast_TO!K30)</f>
        <v>15.296875</v>
      </c>
      <c r="L30" s="219">
        <f>IF(OR(ISBLANK(L$12),L$12&lt;=TS_Data_Full_Pers),BS_Hist_TO!L30,BS_Fcast_TO!L30)</f>
        <v>17.266796874999997</v>
      </c>
      <c r="M30" s="219">
        <f ca="1">IF(OR(ISBLANK(M$12),M$12&lt;=TS_Data_Full_Pers),BS_Hist_TO!M30,BS_Fcast_TO!M30)</f>
        <v>19.285966796874998</v>
      </c>
      <c r="N30" s="219">
        <f ca="1">IF(OR(ISBLANK(N$12),N$12&lt;=TS_Data_Full_Pers),BS_Hist_TO!N30,BS_Fcast_TO!N30)</f>
        <v>21.355615966796872</v>
      </c>
      <c r="O30" s="219">
        <f ca="1">IF(OR(ISBLANK(O$12),O$12&lt;=TS_Data_Full_Pers),BS_Hist_TO!O30,BS_Fcast_TO!O30)</f>
        <v>23.477006365966794</v>
      </c>
      <c r="P30" s="219">
        <f ca="1">IF(OR(ISBLANK(P$12),P$12&lt;=TS_Data_Full_Pers),BS_Hist_TO!P30,BS_Fcast_TO!P30)</f>
        <v>25.651431525115964</v>
      </c>
      <c r="Q30" s="219">
        <f ca="1">IF(OR(ISBLANK(Q$12),Q$12&lt;=TS_Data_Full_Pers),BS_Hist_TO!Q30,BS_Fcast_TO!Q30)</f>
        <v>27.880217313243865</v>
      </c>
    </row>
    <row r="31" spans="3:17" s="24" customFormat="1">
      <c r="D31" s="203" t="str">
        <f>BS_Hist_TA!D31</f>
        <v>Deferred Tax Assets</v>
      </c>
      <c r="I31" s="219">
        <f>IF(OR(ISBLANK(I$12),I$12&lt;=TS_Data_Full_Pers),BS_Hist_TO!I31,BS_Fcast_TO!I31)</f>
        <v>0</v>
      </c>
      <c r="J31" s="219">
        <f>IF(OR(ISBLANK(J$12),J$12&lt;=TS_Data_Full_Pers),BS_Hist_TO!J31,BS_Fcast_TO!J31)</f>
        <v>0</v>
      </c>
      <c r="K31" s="219">
        <f>IF(OR(ISBLANK(K$12),K$12&lt;=TS_Data_Full_Pers),BS_Hist_TO!K31,BS_Fcast_TO!K31)</f>
        <v>0</v>
      </c>
      <c r="L31" s="219">
        <f>IF(OR(ISBLANK(L$12),L$12&lt;=TS_Data_Full_Pers),BS_Hist_TO!L31,BS_Fcast_TO!L31)</f>
        <v>0</v>
      </c>
      <c r="M31" s="219">
        <f ca="1">IF(OR(ISBLANK(M$12),M$12&lt;=TS_Data_Full_Pers),BS_Hist_TO!M31,BS_Fcast_TO!M31)</f>
        <v>0</v>
      </c>
      <c r="N31" s="219">
        <f ca="1">IF(OR(ISBLANK(N$12),N$12&lt;=TS_Data_Full_Pers),BS_Hist_TO!N31,BS_Fcast_TO!N31)</f>
        <v>0</v>
      </c>
      <c r="O31" s="219">
        <f ca="1">IF(OR(ISBLANK(O$12),O$12&lt;=TS_Data_Full_Pers),BS_Hist_TO!O31,BS_Fcast_TO!O31)</f>
        <v>0</v>
      </c>
      <c r="P31" s="219">
        <f ca="1">IF(OR(ISBLANK(P$12),P$12&lt;=TS_Data_Full_Pers),BS_Hist_TO!P31,BS_Fcast_TO!P31)</f>
        <v>0</v>
      </c>
      <c r="Q31" s="219">
        <f ca="1">IF(OR(ISBLANK(Q$12),Q$12&lt;=TS_Data_Full_Pers),BS_Hist_TO!Q31,BS_Fcast_TO!Q31)</f>
        <v>0</v>
      </c>
    </row>
    <row r="32" spans="3:17" s="24" customFormat="1">
      <c r="D32" s="203"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c r="D33" s="179" t="str">
        <f>BS_Hist_TA!D33</f>
        <v>Total Non-Current Assets</v>
      </c>
      <c r="I33" s="225">
        <f>SUM(I29:I32)</f>
        <v>163.875</v>
      </c>
      <c r="J33" s="225">
        <f>SUM(J29:J32)</f>
        <v>163.875</v>
      </c>
      <c r="K33" s="225">
        <f t="shared" ref="K33:Q33" si="10">SUM(K29:K32)</f>
        <v>168.33437499999999</v>
      </c>
      <c r="L33" s="225">
        <f t="shared" si="10"/>
        <v>172.88023437499999</v>
      </c>
      <c r="M33" s="225">
        <f t="shared" ca="1" si="10"/>
        <v>177.51474023437501</v>
      </c>
      <c r="N33" s="225">
        <f t="shared" ca="1" si="10"/>
        <v>182.2401087402344</v>
      </c>
      <c r="O33" s="225">
        <f t="shared" ca="1" si="10"/>
        <v>187.05861145874027</v>
      </c>
      <c r="P33" s="225">
        <f t="shared" ca="1" si="10"/>
        <v>191.97257674520878</v>
      </c>
      <c r="Q33" s="225">
        <f t="shared" ca="1" si="10"/>
        <v>196.98439116383901</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1">I25+I33</f>
        <v>182.14897260273972</v>
      </c>
      <c r="J35" s="211">
        <f t="shared" si="11"/>
        <v>184.64897260273972</v>
      </c>
      <c r="K35" s="211">
        <f t="shared" si="11"/>
        <v>195.01353381849319</v>
      </c>
      <c r="L35" s="211">
        <f t="shared" si="11"/>
        <v>213.28014276102488</v>
      </c>
      <c r="M35" s="211">
        <f t="shared" ca="1" si="11"/>
        <v>232.42843712944142</v>
      </c>
      <c r="N35" s="211">
        <f t="shared" ca="1" si="11"/>
        <v>256.59467245836242</v>
      </c>
      <c r="O35" s="211">
        <f t="shared" ca="1" si="11"/>
        <v>276.16176679550642</v>
      </c>
      <c r="P35" s="211">
        <f t="shared" ca="1" si="11"/>
        <v>296.2213965961148</v>
      </c>
      <c r="Q35" s="211">
        <f t="shared" ca="1" si="11"/>
        <v>316.81271697904094</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203" t="str">
        <f>BS_Hist_TA!D39</f>
        <v>Accounts Payable</v>
      </c>
      <c r="I39" s="219">
        <f>IF(OR(ISBLANK(I$12),I$12&lt;=TS_Data_Full_Pers),BS_Hist_TO!I39,BS_Fcast_TO!I39)</f>
        <v>8.0136986301369859</v>
      </c>
      <c r="J39" s="219">
        <f>IF(OR(ISBLANK(J$12),J$12&lt;=TS_Data_Full_Pers),BS_Hist_TO!J39,BS_Fcast_TO!J39)</f>
        <v>8.0136986301369859</v>
      </c>
      <c r="K39" s="219">
        <f>IF(OR(ISBLANK(K$12),K$12&lt;=TS_Data_Full_Pers),BS_Hist_TO!K39,BS_Fcast_TO!K39)</f>
        <v>8.2140410958904102</v>
      </c>
      <c r="L39" s="219">
        <f>IF(OR(ISBLANK(L$12),L$12&lt;=TS_Data_Full_Pers),BS_Hist_TO!L39,BS_Fcast_TO!L39)</f>
        <v>8.3963883196721305</v>
      </c>
      <c r="M39" s="219">
        <f>IF(OR(ISBLANK(M$12),M$12&lt;=TS_Data_Full_Pers),BS_Hist_TO!M39,BS_Fcast_TO!M39)</f>
        <v>8.629876926369862</v>
      </c>
      <c r="N39" s="219">
        <f>IF(OR(ISBLANK(N$12),N$12&lt;=TS_Data_Full_Pers),BS_Hist_TO!N39,BS_Fcast_TO!N39)</f>
        <v>8.8456238495291082</v>
      </c>
      <c r="O39" s="219">
        <f>IF(OR(ISBLANK(O$12),O$12&lt;=TS_Data_Full_Pers),BS_Hist_TO!O39,BS_Fcast_TO!O39)</f>
        <v>9.0667644457673351</v>
      </c>
      <c r="P39" s="219">
        <f>IF(OR(ISBLANK(P$12),P$12&lt;=TS_Data_Full_Pers),BS_Hist_TO!P39,BS_Fcast_TO!P39)</f>
        <v>9.2680416619472759</v>
      </c>
      <c r="Q39" s="219">
        <f>IF(OR(ISBLANK(Q$12),Q$12&lt;=TS_Data_Full_Pers),BS_Hist_TO!Q39,BS_Fcast_TO!Q39)</f>
        <v>9.5257693958343044</v>
      </c>
    </row>
    <row r="40" spans="3:17" s="24" customFormat="1">
      <c r="D40" s="203" t="str">
        <f>BS_Hist_TA!D40</f>
        <v>Tax Payable</v>
      </c>
      <c r="I40" s="219">
        <f>IF(OR(ISBLANK(I$12),I$12&lt;=TS_Data_Full_Pers),BS_Hist_TO!I40,BS_Fcast_TO!I40)</f>
        <v>12.787500000000001</v>
      </c>
      <c r="J40" s="219">
        <f>IF(OR(ISBLANK(J$12),J$12&lt;=TS_Data_Full_Pers),BS_Hist_TO!J40,BS_Fcast_TO!J40)</f>
        <v>12.787500000000001</v>
      </c>
      <c r="K40" s="219">
        <f>IF(OR(ISBLANK(K$12),K$12&lt;=TS_Data_Full_Pers),BS_Hist_TO!K40,BS_Fcast_TO!K40)</f>
        <v>13.131562500000003</v>
      </c>
      <c r="L40" s="219">
        <f>IF(OR(ISBLANK(L$12),L$12&lt;=TS_Data_Full_Pers),BS_Hist_TO!L40,BS_Fcast_TO!L40)</f>
        <v>13.484226562500004</v>
      </c>
      <c r="M40" s="219">
        <f ca="1">IF(OR(ISBLANK(M$12),M$12&lt;=TS_Data_Full_Pers),BS_Hist_TO!M40,BS_Fcast_TO!M40)</f>
        <v>13.845707226562505</v>
      </c>
      <c r="N40" s="219">
        <f ca="1">IF(OR(ISBLANK(N$12),N$12&lt;=TS_Data_Full_Pers),BS_Hist_TO!N40,BS_Fcast_TO!N40)</f>
        <v>14.16747490722657</v>
      </c>
      <c r="O40" s="219">
        <f ca="1">IF(OR(ISBLANK(O$12),O$12&lt;=TS_Data_Full_Pers),BS_Hist_TO!O40,BS_Fcast_TO!O40)</f>
        <v>14.498505529907231</v>
      </c>
      <c r="P40" s="219">
        <f ca="1">IF(OR(ISBLANK(P$12),P$12&lt;=TS_Data_Full_Pers),BS_Hist_TO!P40,BS_Fcast_TO!P40)</f>
        <v>14.88778066815491</v>
      </c>
      <c r="Q40" s="219">
        <f ca="1">IF(OR(ISBLANK(Q$12),Q$12&lt;=TS_Data_Full_Pers),BS_Hist_TO!Q40,BS_Fcast_TO!Q40)</f>
        <v>15.286787684858776</v>
      </c>
    </row>
    <row r="41" spans="3:17" s="24" customFormat="1">
      <c r="D41" s="203" t="str">
        <f>BS_Hist_TA!D41</f>
        <v>Interest Payable</v>
      </c>
      <c r="I41" s="219">
        <f>IF(OR(ISBLANK(I$12),I$12&lt;=TS_Data_Full_Pers),BS_Hist_TO!I41,BS_Fcast_TO!I41)</f>
        <v>0</v>
      </c>
      <c r="J41" s="219">
        <f>IF(OR(ISBLANK(J$12),J$12&lt;=TS_Data_Full_Pers),BS_Hist_TO!J41,BS_Fcast_TO!J41)</f>
        <v>0</v>
      </c>
      <c r="K41" s="219">
        <f>IF(OR(ISBLANK(K$12),K$12&lt;=TS_Data_Full_Pers),BS_Hist_TO!K41,BS_Fcast_TO!K41)</f>
        <v>0</v>
      </c>
      <c r="L41" s="219">
        <f>IF(OR(ISBLANK(L$12),L$12&lt;=TS_Data_Full_Pers),BS_Hist_TO!L41,BS_Fcast_TO!L41)</f>
        <v>0</v>
      </c>
      <c r="M41" s="219">
        <f ca="1">IF(OR(ISBLANK(M$12),M$12&lt;=TS_Data_Full_Pers),BS_Hist_TO!M41,BS_Fcast_TO!M41)</f>
        <v>0</v>
      </c>
      <c r="N41" s="219">
        <f ca="1">IF(OR(ISBLANK(N$12),N$12&lt;=TS_Data_Full_Pers),BS_Hist_TO!N41,BS_Fcast_TO!N41)</f>
        <v>0</v>
      </c>
      <c r="O41" s="219">
        <f ca="1">IF(OR(ISBLANK(O$12),O$12&lt;=TS_Data_Full_Pers),BS_Hist_TO!O41,BS_Fcast_TO!O41)</f>
        <v>0</v>
      </c>
      <c r="P41" s="219">
        <f ca="1">IF(OR(ISBLANK(P$12),P$12&lt;=TS_Data_Full_Pers),BS_Hist_TO!P41,BS_Fcast_TO!P41)</f>
        <v>0</v>
      </c>
      <c r="Q41" s="219">
        <f ca="1">IF(OR(ISBLANK(Q$12),Q$12&lt;=TS_Data_Full_Pers),BS_Hist_TO!Q41,BS_Fcast_TO!Q41)</f>
        <v>0</v>
      </c>
    </row>
    <row r="42" spans="3:17" s="24" customFormat="1">
      <c r="D42" s="203" t="str">
        <f>BS_Hist_TA!D42</f>
        <v>Ordinary Equity Dividends Payable</v>
      </c>
      <c r="I42" s="219">
        <f>IF(OR(ISBLANK(I$12),I$12&lt;=TS_Data_Full_Pers),BS_Hist_TO!I42,BS_Fcast_TO!I42)</f>
        <v>0</v>
      </c>
      <c r="J42" s="219">
        <f>IF(OR(ISBLANK(J$12),J$12&lt;=TS_Data_Full_Pers),BS_Hist_TO!J42,BS_Fcast_TO!J42)</f>
        <v>0</v>
      </c>
      <c r="K42" s="219">
        <f>IF(OR(ISBLANK(K$12),K$12&lt;=TS_Data_Full_Pers),BS_Hist_TO!K42,BS_Fcast_TO!K42)</f>
        <v>0</v>
      </c>
      <c r="L42" s="219">
        <f>IF(OR(ISBLANK(L$12),L$12&lt;=TS_Data_Full_Pers),BS_Hist_TO!L42,BS_Fcast_TO!L42)</f>
        <v>0</v>
      </c>
      <c r="M42" s="219">
        <f ca="1">IF(OR(ISBLANK(M$12),M$12&lt;=TS_Data_Full_Pers),BS_Hist_TO!M42,BS_Fcast_TO!M42)</f>
        <v>0</v>
      </c>
      <c r="N42" s="219">
        <f ca="1">IF(OR(ISBLANK(N$12),N$12&lt;=TS_Data_Full_Pers),BS_Hist_TO!N42,BS_Fcast_TO!N42)</f>
        <v>0</v>
      </c>
      <c r="O42" s="219">
        <f ca="1">IF(OR(ISBLANK(O$12),O$12&lt;=TS_Data_Full_Pers),BS_Hist_TO!O42,BS_Fcast_TO!O42)</f>
        <v>0</v>
      </c>
      <c r="P42" s="219">
        <f ca="1">IF(OR(ISBLANK(P$12),P$12&lt;=TS_Data_Full_Pers),BS_Hist_TO!P42,BS_Fcast_TO!P42)</f>
        <v>0</v>
      </c>
      <c r="Q42" s="219">
        <f ca="1">IF(OR(ISBLANK(Q$12),Q$12&lt;=TS_Data_Full_Pers),BS_Hist_TO!Q42,BS_Fcast_TO!Q42)</f>
        <v>0</v>
      </c>
    </row>
    <row r="43" spans="3:17" s="24" customFormat="1">
      <c r="D43" s="203"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c r="D44" s="179" t="str">
        <f>BS_Hist_TA!D44</f>
        <v>Total Current Liabilities</v>
      </c>
      <c r="I44" s="225">
        <f>SUM(I39:I43)</f>
        <v>25.801198630136987</v>
      </c>
      <c r="J44" s="225">
        <f>SUM(J39:J43)</f>
        <v>25.801198630136987</v>
      </c>
      <c r="K44" s="225">
        <f t="shared" ref="K44:Q44" si="12">SUM(K39:K43)</f>
        <v>27.345603595890413</v>
      </c>
      <c r="L44" s="225">
        <f t="shared" si="12"/>
        <v>28.880614882172132</v>
      </c>
      <c r="M44" s="225">
        <f t="shared" ca="1" si="12"/>
        <v>30.475584152932367</v>
      </c>
      <c r="N44" s="225">
        <f t="shared" ca="1" si="12"/>
        <v>32.013098756755682</v>
      </c>
      <c r="O44" s="225">
        <f t="shared" ca="1" si="12"/>
        <v>33.565269975674568</v>
      </c>
      <c r="P44" s="225">
        <f t="shared" ca="1" si="12"/>
        <v>35.155822330102183</v>
      </c>
      <c r="Q44" s="225">
        <f t="shared" ca="1" si="12"/>
        <v>36.812557080693082</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203" t="str">
        <f>BS_Hist_TA!D48</f>
        <v>Debt</v>
      </c>
      <c r="I48" s="219">
        <f>IF(OR(ISBLANK(I$12),I$12&lt;=TS_Data_Full_Pers),BS_Hist_TO!I48,BS_Fcast_TO!I48)</f>
        <v>50</v>
      </c>
      <c r="J48" s="219">
        <f>IF(OR(ISBLANK(J$12),J$12&lt;=TS_Data_Full_Pers),BS_Hist_TO!J48,BS_Fcast_TO!J48)</f>
        <v>50</v>
      </c>
      <c r="K48" s="219">
        <f>IF(OR(ISBLANK(K$12),K$12&lt;=TS_Data_Full_Pers),BS_Hist_TO!K48,BS_Fcast_TO!K48)</f>
        <v>50</v>
      </c>
      <c r="L48" s="219">
        <f>IF(OR(ISBLANK(L$12),L$12&lt;=TS_Data_Full_Pers),BS_Hist_TO!L48,BS_Fcast_TO!L48)</f>
        <v>50</v>
      </c>
      <c r="M48" s="219">
        <f ca="1">IF(OR(ISBLANK(M$12),M$12&lt;=TS_Data_Full_Pers),BS_Hist_TO!M48,BS_Fcast_TO!M48)</f>
        <v>50</v>
      </c>
      <c r="N48" s="219">
        <f ca="1">IF(OR(ISBLANK(N$12),N$12&lt;=TS_Data_Full_Pers),BS_Hist_TO!N48,BS_Fcast_TO!N48)</f>
        <v>55</v>
      </c>
      <c r="O48" s="219">
        <f ca="1">IF(OR(ISBLANK(O$12),O$12&lt;=TS_Data_Full_Pers),BS_Hist_TO!O48,BS_Fcast_TO!O48)</f>
        <v>55</v>
      </c>
      <c r="P48" s="219">
        <f ca="1">IF(OR(ISBLANK(P$12),P$12&lt;=TS_Data_Full_Pers),BS_Hist_TO!P48,BS_Fcast_TO!P48)</f>
        <v>55</v>
      </c>
      <c r="Q48" s="219">
        <f ca="1">IF(OR(ISBLANK(Q$12),Q$12&lt;=TS_Data_Full_Pers),BS_Hist_TO!Q48,BS_Fcast_TO!Q48)</f>
        <v>55</v>
      </c>
    </row>
    <row r="49" spans="3:17" s="24" customFormat="1">
      <c r="D49" s="203" t="str">
        <f>BS_Hist_TA!D49</f>
        <v>Deferred Tax Liabilities</v>
      </c>
      <c r="I49" s="219">
        <f>IF(OR(ISBLANK(I$12),I$12&lt;=TS_Data_Full_Pers),BS_Hist_TO!I49,BS_Fcast_TO!I49)</f>
        <v>0</v>
      </c>
      <c r="J49" s="219">
        <f>IF(OR(ISBLANK(J$12),J$12&lt;=TS_Data_Full_Pers),BS_Hist_TO!J49,BS_Fcast_TO!J49)</f>
        <v>0</v>
      </c>
      <c r="K49" s="219">
        <f>IF(OR(ISBLANK(K$12),K$12&lt;=TS_Data_Full_Pers),BS_Hist_TO!K49,BS_Fcast_TO!K49)</f>
        <v>0</v>
      </c>
      <c r="L49" s="219">
        <f>IF(OR(ISBLANK(L$12),L$12&lt;=TS_Data_Full_Pers),BS_Hist_TO!L49,BS_Fcast_TO!L49)</f>
        <v>0</v>
      </c>
      <c r="M49" s="219">
        <f ca="1">IF(OR(ISBLANK(M$12),M$12&lt;=TS_Data_Full_Pers),BS_Hist_TO!M49,BS_Fcast_TO!M49)</f>
        <v>0</v>
      </c>
      <c r="N49" s="219">
        <f ca="1">IF(OR(ISBLANK(N$12),N$12&lt;=TS_Data_Full_Pers),BS_Hist_TO!N49,BS_Fcast_TO!N49)</f>
        <v>0</v>
      </c>
      <c r="O49" s="219">
        <f ca="1">IF(OR(ISBLANK(O$12),O$12&lt;=TS_Data_Full_Pers),BS_Hist_TO!O49,BS_Fcast_TO!O49)</f>
        <v>0</v>
      </c>
      <c r="P49" s="219">
        <f ca="1">IF(OR(ISBLANK(P$12),P$12&lt;=TS_Data_Full_Pers),BS_Hist_TO!P49,BS_Fcast_TO!P49)</f>
        <v>0</v>
      </c>
      <c r="Q49" s="219">
        <f ca="1">IF(OR(ISBLANK(Q$12),Q$12&lt;=TS_Data_Full_Pers),BS_Hist_TO!Q49,BS_Fcast_TO!Q49)</f>
        <v>0</v>
      </c>
    </row>
    <row r="50" spans="3:17" s="24" customFormat="1">
      <c r="D50" s="203"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c r="D51" s="179" t="str">
        <f>BS_Hist_TA!D51</f>
        <v>Total Non-Current Liabilities</v>
      </c>
      <c r="I51" s="225">
        <f>SUM(I48:I50)</f>
        <v>56</v>
      </c>
      <c r="J51" s="225">
        <f>SUM(J48:J50)</f>
        <v>56</v>
      </c>
      <c r="K51" s="225">
        <f t="shared" ref="K51:Q51" si="13">SUM(K48:K50)</f>
        <v>57</v>
      </c>
      <c r="L51" s="225">
        <f t="shared" si="13"/>
        <v>58</v>
      </c>
      <c r="M51" s="225">
        <f t="shared" ca="1" si="13"/>
        <v>59</v>
      </c>
      <c r="N51" s="225">
        <f t="shared" ca="1" si="13"/>
        <v>65</v>
      </c>
      <c r="O51" s="225">
        <f t="shared" ca="1" si="13"/>
        <v>66</v>
      </c>
      <c r="P51" s="225">
        <f t="shared" ca="1" si="13"/>
        <v>67</v>
      </c>
      <c r="Q51" s="225">
        <f t="shared" ca="1" si="13"/>
        <v>68</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14">I44+I51</f>
        <v>81.80119863013698</v>
      </c>
      <c r="J53" s="211">
        <f t="shared" si="14"/>
        <v>81.80119863013698</v>
      </c>
      <c r="K53" s="211">
        <f t="shared" si="14"/>
        <v>84.34560359589041</v>
      </c>
      <c r="L53" s="211">
        <f t="shared" si="14"/>
        <v>86.880614882172125</v>
      </c>
      <c r="M53" s="211">
        <f t="shared" ca="1" si="14"/>
        <v>89.47558415293237</v>
      </c>
      <c r="N53" s="211">
        <f t="shared" ca="1" si="14"/>
        <v>97.013098756755682</v>
      </c>
      <c r="O53" s="211">
        <f t="shared" ca="1" si="14"/>
        <v>99.565269975674568</v>
      </c>
      <c r="P53" s="211">
        <f t="shared" ca="1" si="14"/>
        <v>102.15582233010218</v>
      </c>
      <c r="Q53" s="211">
        <f t="shared" ca="1" si="14"/>
        <v>104.81255708069308</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15">I35-I53</f>
        <v>100.34777397260274</v>
      </c>
      <c r="J55" s="213">
        <f t="shared" si="15"/>
        <v>102.84777397260274</v>
      </c>
      <c r="K55" s="213">
        <f t="shared" si="15"/>
        <v>110.66793022260278</v>
      </c>
      <c r="L55" s="213">
        <f t="shared" si="15"/>
        <v>126.39952787885275</v>
      </c>
      <c r="M55" s="213">
        <f t="shared" ca="1" si="15"/>
        <v>142.95285297650906</v>
      </c>
      <c r="N55" s="213">
        <f t="shared" ca="1" si="15"/>
        <v>159.58157370160674</v>
      </c>
      <c r="O55" s="213">
        <f t="shared" ca="1" si="15"/>
        <v>176.59649681983186</v>
      </c>
      <c r="P55" s="213">
        <f t="shared" ca="1" si="15"/>
        <v>194.06557426601262</v>
      </c>
      <c r="Q55" s="213">
        <f t="shared" ca="1" si="15"/>
        <v>212.00015989834787</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203" t="str">
        <f>BS_Hist_TA!D59</f>
        <v>Ordinary Equity</v>
      </c>
      <c r="I59" s="219">
        <f>IF(OR(ISBLANK(I$12),I$12&lt;=TS_Data_Full_Pers),BS_Hist_TO!I59,BS_Fcast_TO!I59)</f>
        <v>75</v>
      </c>
      <c r="J59" s="219">
        <f>IF(OR(ISBLANK(J$12),J$12&lt;=TS_Data_Full_Pers),BS_Hist_TO!J59,BS_Fcast_TO!J59)</f>
        <v>75</v>
      </c>
      <c r="K59" s="219">
        <f>IF(OR(ISBLANK(K$12),K$12&lt;=TS_Data_Full_Pers),BS_Hist_TO!K59,BS_Fcast_TO!K59)</f>
        <v>75</v>
      </c>
      <c r="L59" s="219">
        <f>IF(OR(ISBLANK(L$12),L$12&lt;=TS_Data_Full_Pers),BS_Hist_TO!L59,BS_Fcast_TO!L59)</f>
        <v>75</v>
      </c>
      <c r="M59" s="219">
        <f ca="1">IF(OR(ISBLANK(M$12),M$12&lt;=TS_Data_Full_Pers),BS_Hist_TO!M59,BS_Fcast_TO!M59)</f>
        <v>75</v>
      </c>
      <c r="N59" s="219">
        <f ca="1">IF(OR(ISBLANK(N$12),N$12&lt;=TS_Data_Full_Pers),BS_Hist_TO!N59,BS_Fcast_TO!N59)</f>
        <v>75</v>
      </c>
      <c r="O59" s="219">
        <f ca="1">IF(OR(ISBLANK(O$12),O$12&lt;=TS_Data_Full_Pers),BS_Hist_TO!O59,BS_Fcast_TO!O59)</f>
        <v>75</v>
      </c>
      <c r="P59" s="219">
        <f ca="1">IF(OR(ISBLANK(P$12),P$12&lt;=TS_Data_Full_Pers),BS_Hist_TO!P59,BS_Fcast_TO!P59)</f>
        <v>75</v>
      </c>
      <c r="Q59" s="219">
        <f ca="1">IF(OR(ISBLANK(Q$12),Q$12&lt;=TS_Data_Full_Pers),BS_Hist_TO!Q59,BS_Fcast_TO!Q59)</f>
        <v>75</v>
      </c>
    </row>
    <row r="60" spans="3:17" s="24" customFormat="1">
      <c r="D60" s="203" t="str">
        <f>BS_Hist_TA!D60</f>
        <v>Other Equity</v>
      </c>
      <c r="I60" s="219">
        <f>IF(OR(ISBLANK(I$12),I$12&lt;=TS_Data_Full_Pers),BS_Hist_TO!I60,BS_Fcast_TO!I60)</f>
        <v>5</v>
      </c>
      <c r="J60" s="219">
        <f>IF(OR(ISBLANK(J$12),J$12&lt;=TS_Data_Full_Pers),BS_Hist_TO!J60,BS_Fcast_TO!J60)</f>
        <v>5</v>
      </c>
      <c r="K60" s="219">
        <f>IF(OR(ISBLANK(K$12),K$12&lt;=TS_Data_Full_Pers),BS_Hist_TO!K60,BS_Fcast_TO!K60)</f>
        <v>5</v>
      </c>
      <c r="L60" s="219">
        <f>IF(OR(ISBLANK(L$12),L$12&lt;=TS_Data_Full_Pers),BS_Hist_TO!L60,BS_Fcast_TO!L60)</f>
        <v>5</v>
      </c>
      <c r="M60" s="219">
        <f>IF(OR(ISBLANK(M$12),M$12&lt;=TS_Data_Full_Pers),BS_Hist_TO!M60,BS_Fcast_TO!M60)</f>
        <v>5.3999999999999986</v>
      </c>
      <c r="N60" s="219">
        <f>IF(OR(ISBLANK(N$12),N$12&lt;=TS_Data_Full_Pers),BS_Hist_TO!N60,BS_Fcast_TO!N60)</f>
        <v>5.4999999999999982</v>
      </c>
      <c r="O60" s="219">
        <f>IF(OR(ISBLANK(O$12),O$12&lt;=TS_Data_Full_Pers),BS_Hist_TO!O60,BS_Fcast_TO!O60)</f>
        <v>5.5999999999999979</v>
      </c>
      <c r="P60" s="219">
        <f>IF(OR(ISBLANK(P$12),P$12&lt;=TS_Data_Full_Pers),BS_Hist_TO!P60,BS_Fcast_TO!P60)</f>
        <v>5.6999999999999975</v>
      </c>
      <c r="Q60" s="219">
        <f>IF(OR(ISBLANK(Q$12),Q$12&lt;=TS_Data_Full_Pers),BS_Hist_TO!Q60,BS_Fcast_TO!Q60)</f>
        <v>5.7999999999999972</v>
      </c>
    </row>
    <row r="61" spans="3:17" s="24" customFormat="1" hidden="1" outlineLevel="2">
      <c r="D61" s="203"/>
      <c r="E61" s="170" t="s">
        <v>245</v>
      </c>
      <c r="J61" s="219">
        <f>I66</f>
        <v>20.347773972602738</v>
      </c>
      <c r="K61" s="219">
        <f t="shared" ref="K61:Q61" si="16">J66</f>
        <v>22.847773972602738</v>
      </c>
      <c r="L61" s="219">
        <f t="shared" si="16"/>
        <v>30.667930222602777</v>
      </c>
      <c r="M61" s="219">
        <f t="shared" si="16"/>
        <v>46.399527878852751</v>
      </c>
      <c r="N61" s="219">
        <f t="shared" ca="1" si="16"/>
        <v>62.552852976509001</v>
      </c>
      <c r="O61" s="219">
        <f t="shared" ca="1" si="16"/>
        <v>79.081573701606658</v>
      </c>
      <c r="P61" s="219">
        <f t="shared" ca="1" si="16"/>
        <v>95.996496819831762</v>
      </c>
      <c r="Q61" s="219">
        <f t="shared" ca="1" si="16"/>
        <v>113.3655742660125</v>
      </c>
    </row>
    <row r="62" spans="3:17" s="24" customFormat="1" hidden="1" outlineLevel="2">
      <c r="D62" s="203"/>
      <c r="E62" s="170" t="s">
        <v>560</v>
      </c>
      <c r="J62" s="219">
        <f>BS_Hist_TO!J62</f>
        <v>2.5</v>
      </c>
      <c r="K62" s="219">
        <f>BS_Hist_TO!K62</f>
        <v>7.8201562500000392</v>
      </c>
      <c r="L62" s="219">
        <f>BS_Hist_TO!L62</f>
        <v>15.731597656249974</v>
      </c>
      <c r="M62" s="219">
        <f>BS_Hist_TO!M62</f>
        <v>0</v>
      </c>
      <c r="N62" s="219">
        <f>BS_Hist_TO!N62</f>
        <v>0</v>
      </c>
      <c r="O62" s="219">
        <f>BS_Hist_TO!O62</f>
        <v>0</v>
      </c>
      <c r="P62" s="219">
        <f>BS_Hist_TO!P62</f>
        <v>0</v>
      </c>
      <c r="Q62" s="219">
        <f>BS_Hist_TO!Q62</f>
        <v>0</v>
      </c>
    </row>
    <row r="63" spans="3:17" s="24" customFormat="1" hidden="1" outlineLevel="2">
      <c r="D63" s="203"/>
      <c r="E63" s="170" t="s">
        <v>554</v>
      </c>
      <c r="J63" s="219">
        <f>BS_Hist_TO!J63</f>
        <v>0</v>
      </c>
      <c r="K63" s="219">
        <f>BS_Hist_TO!K63</f>
        <v>0</v>
      </c>
      <c r="L63" s="219">
        <f>BS_Hist_TO!L63</f>
        <v>0</v>
      </c>
      <c r="M63" s="219">
        <f>BS_Hist_TO!M63</f>
        <v>0</v>
      </c>
      <c r="N63" s="219">
        <f>BS_Hist_TO!N63</f>
        <v>0</v>
      </c>
      <c r="O63" s="219">
        <f>BS_Hist_TO!O63</f>
        <v>0</v>
      </c>
      <c r="P63" s="219">
        <f>BS_Hist_TO!P63</f>
        <v>0</v>
      </c>
      <c r="Q63" s="219">
        <f>BS_Hist_TO!Q63</f>
        <v>0</v>
      </c>
    </row>
    <row r="64" spans="3:17" s="24" customFormat="1" hidden="1" outlineLevel="2">
      <c r="D64" s="202"/>
      <c r="E64" s="170" t="s">
        <v>561</v>
      </c>
      <c r="J64" s="219">
        <f>BS_Fcast_TO!J62</f>
        <v>0</v>
      </c>
      <c r="K64" s="219">
        <f>BS_Fcast_TO!K62</f>
        <v>0</v>
      </c>
      <c r="L64" s="219">
        <f>BS_Fcast_TO!L62</f>
        <v>0</v>
      </c>
      <c r="M64" s="219">
        <f ca="1">BS_Fcast_TO!M62</f>
        <v>32.306650195312507</v>
      </c>
      <c r="N64" s="219">
        <f ca="1">BS_Fcast_TO!N62</f>
        <v>33.057441450195327</v>
      </c>
      <c r="O64" s="219">
        <f ca="1">BS_Fcast_TO!O62</f>
        <v>33.829846236450202</v>
      </c>
      <c r="P64" s="219">
        <f ca="1">BS_Fcast_TO!P62</f>
        <v>34.73815489236145</v>
      </c>
      <c r="Q64" s="219">
        <f ca="1">BS_Fcast_TO!Q62</f>
        <v>35.669171264670474</v>
      </c>
    </row>
    <row r="65" spans="3:17" s="24" customFormat="1" hidden="1" outlineLevel="2">
      <c r="E65" s="170" t="s">
        <v>562</v>
      </c>
      <c r="I65" s="237"/>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c r="D66" s="203" t="str">
        <f>BS_Hist_TA!D63</f>
        <v>Retained Profits</v>
      </c>
      <c r="I66" s="219">
        <f>IF(ISBLANK(I$12),BS_Hist_TO!$I$64,SUM(I61:I65))</f>
        <v>20.347773972602738</v>
      </c>
      <c r="J66" s="219">
        <f>IF(ISBLANK(J$12),BS_Hist_TO!$I$64,SUM(J61:J65))</f>
        <v>22.847773972602738</v>
      </c>
      <c r="K66" s="219">
        <f>IF(ISBLANK(K$12),BS_Hist_TO!$I$64,SUM(K61:K65))</f>
        <v>30.667930222602777</v>
      </c>
      <c r="L66" s="219">
        <f>IF(ISBLANK(L$12),BS_Hist_TO!$I$64,SUM(L61:L65))</f>
        <v>46.399527878852751</v>
      </c>
      <c r="M66" s="219">
        <f ca="1">IF(ISBLANK(M$12),BS_Hist_TO!$I$64,SUM(M61:M65))</f>
        <v>62.552852976509001</v>
      </c>
      <c r="N66" s="219">
        <f ca="1">IF(ISBLANK(N$12),BS_Hist_TO!$I$64,SUM(N61:N65))</f>
        <v>79.081573701606658</v>
      </c>
      <c r="O66" s="219">
        <f ca="1">IF(ISBLANK(O$12),BS_Hist_TO!$I$64,SUM(O61:O65))</f>
        <v>95.996496819831762</v>
      </c>
      <c r="P66" s="219">
        <f ca="1">IF(ISBLANK(P$12),BS_Hist_TO!$I$64,SUM(P61:P65))</f>
        <v>113.3655742660125</v>
      </c>
      <c r="Q66" s="219">
        <f ca="1">IF(ISBLANK(Q$12),BS_Hist_TO!$I$64,SUM(Q61:Q65))</f>
        <v>131.20015989834775</v>
      </c>
    </row>
    <row r="67" spans="3:17" s="24" customFormat="1">
      <c r="I67" s="143"/>
      <c r="J67" s="143"/>
      <c r="K67" s="143"/>
      <c r="L67" s="143"/>
      <c r="M67" s="143"/>
      <c r="N67" s="143"/>
      <c r="O67" s="143"/>
      <c r="P67" s="143"/>
      <c r="Q67" s="143"/>
    </row>
    <row r="68" spans="3:17" s="24" customFormat="1" ht="11.25">
      <c r="C68" s="216" t="str">
        <f>BS_Hist_TA!C65</f>
        <v>Total Equity</v>
      </c>
      <c r="I68" s="211">
        <f>I59+I60+I66</f>
        <v>100.34777397260274</v>
      </c>
      <c r="J68" s="211">
        <f t="shared" ref="J68:Q68" si="17">J59+J60+J66</f>
        <v>102.84777397260274</v>
      </c>
      <c r="K68" s="211">
        <f t="shared" si="17"/>
        <v>110.66793022260278</v>
      </c>
      <c r="L68" s="211">
        <f t="shared" si="17"/>
        <v>126.39952787885275</v>
      </c>
      <c r="M68" s="211">
        <f t="shared" ca="1" si="17"/>
        <v>142.95285297650901</v>
      </c>
      <c r="N68" s="211">
        <f t="shared" ca="1" si="17"/>
        <v>159.58157370160666</v>
      </c>
      <c r="O68" s="211">
        <f t="shared" ca="1" si="17"/>
        <v>176.59649681983177</v>
      </c>
      <c r="P68" s="211">
        <f t="shared" ca="1" si="17"/>
        <v>194.0655742660125</v>
      </c>
      <c r="Q68" s="211">
        <f t="shared" ca="1" si="17"/>
        <v>212.00015989834776</v>
      </c>
    </row>
    <row r="69" spans="3:17" s="15" customFormat="1">
      <c r="J69" s="175"/>
      <c r="K69" s="175"/>
      <c r="L69" s="175"/>
      <c r="M69" s="175"/>
      <c r="N69" s="175"/>
      <c r="O69" s="175"/>
      <c r="P69" s="175"/>
      <c r="Q69" s="175"/>
    </row>
    <row r="70" spans="3:17" s="15" customFormat="1" hidden="1" outlineLevel="2">
      <c r="D70" s="170" t="s">
        <v>488</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c r="D71" s="170" t="s">
        <v>418</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c r="C72" s="170" t="s">
        <v>414</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row r="74" spans="3:17" s="15" customFormat="1" collapsed="1">
      <c r="C74" s="170" t="s">
        <v>419</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J74:Q74 H74 H72 I70:Q72">
    <cfRule type="cellIs" dxfId="38" priority="10" stopIfTrue="1" operator="notEqual">
      <formula>0</formula>
    </cfRule>
  </conditionalFormatting>
  <conditionalFormatting sqref="C72 C74">
    <cfRule type="expression" dxfId="37" priority="9" stopIfTrue="1">
      <formula>H72&lt;&gt;0</formula>
    </cfRule>
  </conditionalFormatting>
  <conditionalFormatting sqref="I22:I60 I66:I73 I60:Q60 I68:Q68 I22:Q22 I66:Q66 J22:Q74">
    <cfRule type="expression" dxfId="36" priority="8" stopIfTrue="1">
      <formula>AND(NOT(ISBLANK(I$12)),I$12=0)</formula>
    </cfRule>
  </conditionalFormatting>
  <conditionalFormatting sqref="H72 H74">
    <cfRule type="expression" dxfId="35" priority="13" stopIfTrue="1">
      <formula>AND(NOT(ISBLANK(I$12)),I$12=0)</formula>
    </cfRule>
  </conditionalFormatting>
  <conditionalFormatting sqref="I74">
    <cfRule type="cellIs" dxfId="34" priority="2" stopIfTrue="1" operator="notEqual">
      <formula>0</formula>
    </cfRule>
  </conditionalFormatting>
  <conditionalFormatting sqref="I74">
    <cfRule type="expression" dxfId="33"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7" t="s">
        <v>191</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460</v>
      </c>
    </row>
    <row r="18" spans="3:3">
      <c r="C18" s="170" t="s">
        <v>285</v>
      </c>
    </row>
    <row r="19" spans="3:3">
      <c r="C19" s="170" t="s">
        <v>286</v>
      </c>
    </row>
    <row r="20" spans="3:3">
      <c r="C20" s="170"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5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7. Outputs &amp; Presentations - Practical Exercise (Solution)</v>
      </c>
    </row>
    <row r="3" spans="1:17">
      <c r="B3" s="270" t="s">
        <v>48</v>
      </c>
      <c r="C3" s="270"/>
      <c r="D3" s="270"/>
      <c r="E3" s="270"/>
      <c r="F3" s="270"/>
    </row>
    <row r="4" spans="1:17" ht="12.75">
      <c r="A4" s="10" t="s">
        <v>51</v>
      </c>
      <c r="B4" s="11" t="s">
        <v>53</v>
      </c>
      <c r="C4" s="12" t="s">
        <v>102</v>
      </c>
      <c r="D4" s="263" t="s">
        <v>205</v>
      </c>
      <c r="E4" s="263"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15" customFormat="1" ht="12.75">
      <c r="B16" s="119" t="s">
        <v>424</v>
      </c>
    </row>
    <row r="17" spans="3:17" s="15" customFormat="1"/>
    <row r="18" spans="3:17" s="15" customFormat="1" ht="11.25">
      <c r="C18" s="93" t="s">
        <v>15</v>
      </c>
    </row>
    <row r="19" spans="3:17" s="15" customFormat="1"/>
    <row r="20" spans="3:17" s="15" customFormat="1" hidden="1" outlineLevel="2">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c r="E21" s="170" t="s">
        <v>420</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c r="D22" s="170" t="s">
        <v>238</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c r="D25" s="5"/>
      <c r="E25" s="170" t="s">
        <v>421</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c r="D26" s="170" t="s">
        <v>243</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c r="D29" s="170" t="s">
        <v>492</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c r="D30" s="170" t="s">
        <v>493</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c r="J32" s="94"/>
      <c r="K32" s="94"/>
      <c r="L32" s="94"/>
      <c r="M32" s="94"/>
      <c r="N32" s="94"/>
      <c r="O32" s="94"/>
      <c r="P32" s="94"/>
      <c r="Q32" s="94"/>
    </row>
    <row r="33" spans="3:17" s="15" customFormat="1" ht="11.25">
      <c r="C33" s="93" t="s">
        <v>16</v>
      </c>
      <c r="J33" s="94"/>
      <c r="K33" s="94"/>
      <c r="L33" s="94"/>
      <c r="M33" s="94"/>
      <c r="N33" s="94"/>
      <c r="O33" s="94"/>
      <c r="P33" s="94"/>
      <c r="Q33" s="94"/>
    </row>
    <row r="34" spans="3:17" s="15" customFormat="1">
      <c r="J34" s="94"/>
      <c r="K34" s="94"/>
      <c r="L34" s="94"/>
      <c r="M34" s="94"/>
      <c r="N34" s="94"/>
      <c r="O34" s="94"/>
      <c r="P34" s="94"/>
      <c r="Q34" s="94"/>
    </row>
    <row r="35" spans="3:17" s="15" customFormat="1">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c r="D37" s="170" t="s">
        <v>494</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c r="D38" s="170" t="s">
        <v>495</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c r="J40" s="94"/>
      <c r="K40" s="94"/>
      <c r="L40" s="94"/>
      <c r="M40" s="94"/>
      <c r="N40" s="94"/>
      <c r="O40" s="94"/>
      <c r="P40" s="94"/>
      <c r="Q40" s="94"/>
    </row>
    <row r="41" spans="3:17" s="15" customFormat="1" ht="11.25">
      <c r="C41" s="93" t="s">
        <v>17</v>
      </c>
      <c r="J41" s="94"/>
      <c r="K41" s="94"/>
      <c r="L41" s="94"/>
      <c r="M41" s="94"/>
      <c r="N41" s="94"/>
      <c r="O41" s="94"/>
      <c r="P41" s="94"/>
      <c r="Q41" s="94"/>
    </row>
    <row r="42" spans="3:17" s="15" customFormat="1">
      <c r="J42" s="94"/>
      <c r="K42" s="94"/>
      <c r="L42" s="94"/>
      <c r="M42" s="94"/>
      <c r="N42" s="94"/>
      <c r="O42" s="94"/>
      <c r="P42" s="94"/>
      <c r="Q42" s="94"/>
    </row>
    <row r="43" spans="3:17" s="15" customFormat="1">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c r="D48" s="170" t="s">
        <v>558</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c r="J50" s="94"/>
      <c r="K50" s="94"/>
      <c r="L50" s="94"/>
      <c r="M50" s="94"/>
      <c r="N50" s="94"/>
      <c r="O50" s="94"/>
      <c r="P50" s="94"/>
      <c r="Q50" s="94"/>
    </row>
    <row r="51" spans="3:17" s="15" customFormat="1" ht="12" thickBot="1">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row r="53" spans="3:17" s="15" customFormat="1" hidden="1" outlineLevel="2">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c r="C55" s="170" t="s">
        <v>410</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row r="57" spans="3:17" s="15" customFormat="1">
      <c r="C57" s="171" t="s">
        <v>203</v>
      </c>
    </row>
    <row r="58" spans="3:17" s="15" customFormat="1">
      <c r="C58" s="138">
        <v>1</v>
      </c>
      <c r="D58" s="116" t="str">
        <f>"All values are stated in "&amp;INDEX(LU_Denom,DD_TS_Denom)&amp;" unless stated otherwise."</f>
        <v>All values are stated in $Millions unless stated otherwise.</v>
      </c>
    </row>
  </sheetData>
  <mergeCells count="1">
    <mergeCell ref="B3:F3"/>
  </mergeCells>
  <conditionalFormatting sqref="I55 J53:Q55">
    <cfRule type="cellIs" dxfId="32" priority="2" stopIfTrue="1" operator="notEqual">
      <formula>0</formula>
    </cfRule>
  </conditionalFormatting>
  <conditionalFormatting sqref="C55">
    <cfRule type="expression" dxfId="31" priority="1" stopIfTrue="1">
      <formula>I55&lt;&gt;0</formula>
    </cfRule>
  </conditionalFormatting>
  <hyperlinks>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427</v>
      </c>
    </row>
    <row r="10" spans="3:7" ht="16.5">
      <c r="C10" s="27" t="s">
        <v>546</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498</v>
      </c>
    </row>
    <row r="18" spans="3:3">
      <c r="C18" s="177" t="s">
        <v>428</v>
      </c>
    </row>
    <row r="19" spans="3:3">
      <c r="C19" s="177"/>
    </row>
    <row r="20" spans="3:3">
      <c r="C20" s="177"/>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432</v>
      </c>
    </row>
    <row r="2" spans="1:57" ht="15">
      <c r="B2" s="29" t="str">
        <f ca="1">Model_Name</f>
        <v>SMA 7. Outputs &amp; Presentations - Practical Exercise (Solution)</v>
      </c>
    </row>
    <row r="3" spans="1:57">
      <c r="B3" s="332" t="s">
        <v>48</v>
      </c>
      <c r="C3" s="332"/>
      <c r="D3" s="332"/>
      <c r="E3" s="332"/>
      <c r="F3" s="332"/>
      <c r="G3" s="332"/>
      <c r="H3" s="332"/>
      <c r="I3" s="332"/>
      <c r="J3" s="332"/>
      <c r="K3" s="332"/>
      <c r="L3" s="111"/>
    </row>
    <row r="4" spans="1:57" ht="12.75">
      <c r="A4" s="31" t="s">
        <v>51</v>
      </c>
      <c r="B4" s="322" t="s">
        <v>53</v>
      </c>
      <c r="C4" s="322"/>
      <c r="D4" s="323" t="s">
        <v>102</v>
      </c>
      <c r="E4" s="323"/>
      <c r="F4" s="324" t="s">
        <v>205</v>
      </c>
      <c r="G4" s="324"/>
      <c r="H4" s="324" t="s">
        <v>206</v>
      </c>
      <c r="I4" s="324"/>
      <c r="J4" s="324" t="s">
        <v>207</v>
      </c>
      <c r="K4" s="324"/>
    </row>
    <row r="7" spans="1:57" ht="11.25">
      <c r="B7" s="329" t="s">
        <v>47</v>
      </c>
      <c r="C7" s="330"/>
      <c r="D7" s="330"/>
      <c r="E7" s="330"/>
      <c r="F7" s="330"/>
      <c r="G7" s="330"/>
      <c r="H7" s="330"/>
      <c r="I7" s="330"/>
      <c r="J7" s="330"/>
      <c r="K7" s="330"/>
      <c r="L7" s="330"/>
      <c r="M7" s="330"/>
      <c r="N7" s="330"/>
      <c r="O7" s="330"/>
      <c r="P7" s="330"/>
      <c r="Q7" s="330"/>
      <c r="R7" s="330"/>
      <c r="S7" s="331"/>
      <c r="V7" s="325" t="s">
        <v>429</v>
      </c>
      <c r="W7" s="325"/>
      <c r="X7" s="325"/>
      <c r="Y7" s="325"/>
      <c r="Z7" s="325"/>
      <c r="AA7" s="325"/>
      <c r="AB7" s="325"/>
      <c r="AC7" s="325"/>
      <c r="AD7" s="325"/>
      <c r="AE7" s="325"/>
      <c r="AF7" s="325"/>
      <c r="AG7" s="325"/>
      <c r="AH7" s="325"/>
      <c r="AI7" s="325"/>
      <c r="AJ7" s="325"/>
      <c r="AK7" s="325"/>
      <c r="AL7" s="325"/>
      <c r="AM7" s="325"/>
      <c r="AP7" s="158" t="str">
        <f>IF(TS_Periodicity=Annual,IS_All_TO!$B$7,IS_All_TO!$B$6)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441</v>
      </c>
    </row>
    <row r="10" spans="1:57">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348</v>
      </c>
      <c r="AU11" s="5" t="str">
        <f>Fcast_OP_TO!C18</f>
        <v>Revenue</v>
      </c>
    </row>
    <row r="12" spans="1:57">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442</v>
      </c>
    </row>
    <row r="17" spans="2:57">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348</v>
      </c>
      <c r="AU18" s="5" t="str">
        <f>Fcast_OP_TO!C19</f>
        <v>Cost of Goods Sold</v>
      </c>
    </row>
    <row r="19" spans="2:57">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c r="V22" s="166"/>
      <c r="W22" s="166"/>
      <c r="X22" s="166"/>
      <c r="Y22" s="166"/>
      <c r="Z22" s="166"/>
      <c r="AA22" s="166"/>
      <c r="AB22" s="166"/>
      <c r="AC22" s="166"/>
      <c r="AD22" s="166"/>
      <c r="AE22" s="166"/>
      <c r="AF22" s="166"/>
      <c r="AG22" s="166"/>
      <c r="AH22" s="166"/>
      <c r="AI22" s="166"/>
      <c r="AJ22" s="166"/>
      <c r="AK22" s="166"/>
      <c r="AL22" s="166"/>
      <c r="AM22" s="166"/>
    </row>
    <row r="23" spans="2:57">
      <c r="V23" s="166"/>
      <c r="W23" s="166"/>
      <c r="X23" s="166"/>
      <c r="Y23" s="166"/>
      <c r="Z23" s="166"/>
      <c r="AA23" s="166"/>
      <c r="AB23" s="166"/>
      <c r="AC23" s="166"/>
      <c r="AD23" s="166"/>
      <c r="AE23" s="166"/>
      <c r="AF23" s="166"/>
      <c r="AG23" s="166"/>
      <c r="AH23" s="166"/>
      <c r="AI23" s="166"/>
      <c r="AJ23" s="166"/>
      <c r="AK23" s="166"/>
      <c r="AL23" s="166"/>
      <c r="AM23" s="166"/>
      <c r="AP23" s="171" t="s">
        <v>448</v>
      </c>
    </row>
    <row r="24" spans="2:57" ht="11.25">
      <c r="B24" s="326" t="s">
        <v>0</v>
      </c>
      <c r="C24" s="327"/>
      <c r="D24" s="327"/>
      <c r="E24" s="327"/>
      <c r="F24" s="327"/>
      <c r="G24" s="327"/>
      <c r="H24" s="327"/>
      <c r="I24" s="327"/>
      <c r="J24" s="327"/>
      <c r="K24" s="327"/>
      <c r="L24" s="327"/>
      <c r="M24" s="327"/>
      <c r="N24" s="327"/>
      <c r="O24" s="327"/>
      <c r="P24" s="327"/>
      <c r="Q24" s="327"/>
      <c r="R24" s="327"/>
      <c r="S24" s="328"/>
      <c r="V24" s="166"/>
      <c r="W24" s="166"/>
      <c r="X24" s="166"/>
      <c r="Y24" s="166"/>
      <c r="Z24" s="166"/>
      <c r="AA24" s="166"/>
      <c r="AB24" s="166"/>
      <c r="AC24" s="166"/>
      <c r="AD24" s="166"/>
      <c r="AE24" s="166"/>
      <c r="AF24" s="166"/>
      <c r="AG24" s="166"/>
      <c r="AH24" s="166"/>
      <c r="AI24" s="166"/>
      <c r="AJ24" s="166"/>
      <c r="AK24" s="166"/>
      <c r="AL24" s="166"/>
      <c r="AM24" s="166"/>
    </row>
    <row r="25" spans="2:57">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348</v>
      </c>
      <c r="AU25" s="5" t="str">
        <f>Fcast_OP_TO!C20</f>
        <v>Operating Expenditure</v>
      </c>
    </row>
    <row r="26" spans="2:57" ht="11.2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25" t="s">
        <v>430</v>
      </c>
      <c r="W26" s="325"/>
      <c r="X26" s="325"/>
      <c r="Y26" s="325"/>
      <c r="Z26" s="325"/>
      <c r="AA26" s="325"/>
      <c r="AB26" s="325"/>
      <c r="AC26" s="325"/>
      <c r="AD26" s="325"/>
      <c r="AE26" s="325"/>
      <c r="AF26" s="325"/>
      <c r="AG26" s="325"/>
      <c r="AH26" s="325"/>
      <c r="AI26" s="325"/>
      <c r="AJ26" s="325"/>
      <c r="AK26" s="325"/>
      <c r="AL26" s="325"/>
      <c r="AM26" s="325"/>
    </row>
    <row r="27" spans="2:57">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449</v>
      </c>
      <c r="AQ30" s="5"/>
      <c r="AX30" s="94"/>
    </row>
    <row r="31" spans="2:57">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348</v>
      </c>
      <c r="AU32" s="116" t="str">
        <f>"Net Assets - "&amp;INDEX(LU_Dashboard_Selected_Period,AU34)</f>
        <v xml:space="preserve">Net Assets - 2010 (A) </v>
      </c>
    </row>
    <row r="33" spans="2:57">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444</v>
      </c>
      <c r="AU34" s="260">
        <v>1</v>
      </c>
    </row>
    <row r="35" spans="2:57">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20" t="s">
        <v>9</v>
      </c>
      <c r="AY35" s="320" t="s">
        <v>450</v>
      </c>
      <c r="AZ35" s="320" t="s">
        <v>451</v>
      </c>
      <c r="BA35" s="320" t="s">
        <v>452</v>
      </c>
      <c r="BB35" s="320" t="s">
        <v>453</v>
      </c>
    </row>
    <row r="36" spans="2:57">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454</v>
      </c>
      <c r="AX36" s="321"/>
      <c r="AY36" s="321"/>
      <c r="AZ36" s="321"/>
      <c r="BA36" s="321"/>
      <c r="BB36" s="321"/>
    </row>
    <row r="37" spans="2:57">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455</v>
      </c>
      <c r="AX37" s="94">
        <f ca="1">OFFSET($N$30,0,AU34-1)</f>
        <v>184.64897260273972</v>
      </c>
      <c r="AY37" s="94"/>
      <c r="AZ37" s="163">
        <v>0</v>
      </c>
      <c r="BA37" s="165">
        <f ca="1">AX37</f>
        <v>184.64897260273972</v>
      </c>
      <c r="BB37" s="94">
        <f ca="1">SUM(AZ37:BA37)</f>
        <v>184.64897260273972</v>
      </c>
    </row>
    <row r="38" spans="2:57">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456</v>
      </c>
      <c r="AX38" s="96"/>
      <c r="AY38" s="96">
        <f ca="1">-OFFSET($N$34,0,AU34-1)</f>
        <v>-81.80119863013698</v>
      </c>
      <c r="AZ38" s="164">
        <f ca="1">BA37+IF(AY38&lt;0,AY38,0)</f>
        <v>102.84777397260274</v>
      </c>
      <c r="BA38" s="96">
        <f ca="1">ABS(AY38)</f>
        <v>81.80119863013698</v>
      </c>
      <c r="BB38" s="96">
        <f ca="1">SUM(AZ38:BA38)</f>
        <v>184.64897260273972</v>
      </c>
    </row>
    <row r="39" spans="2:57">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566</v>
      </c>
    </row>
    <row r="42" spans="2:57">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c r="V43" s="166"/>
      <c r="W43" s="166"/>
      <c r="X43" s="166"/>
      <c r="Y43" s="166"/>
      <c r="Z43" s="166"/>
      <c r="AA43" s="166"/>
      <c r="AB43" s="166"/>
      <c r="AC43" s="166"/>
      <c r="AD43" s="166"/>
      <c r="AE43" s="166"/>
      <c r="AF43" s="166"/>
      <c r="AG43" s="166"/>
      <c r="AH43" s="166"/>
      <c r="AI43" s="166"/>
      <c r="AJ43" s="166"/>
      <c r="AK43" s="166"/>
      <c r="AL43" s="166"/>
      <c r="AM43" s="166"/>
      <c r="AQ43" s="171" t="s">
        <v>348</v>
      </c>
      <c r="AU43" s="170" t="s">
        <v>496</v>
      </c>
    </row>
    <row r="44" spans="2:57" ht="11.25">
      <c r="B44" s="333" t="s">
        <v>45</v>
      </c>
      <c r="C44" s="334"/>
      <c r="D44" s="334"/>
      <c r="E44" s="334"/>
      <c r="F44" s="334"/>
      <c r="G44" s="334"/>
      <c r="H44" s="334"/>
      <c r="I44" s="334"/>
      <c r="J44" s="334"/>
      <c r="K44" s="334"/>
      <c r="L44" s="334"/>
      <c r="M44" s="334"/>
      <c r="N44" s="334"/>
      <c r="O44" s="334"/>
      <c r="P44" s="334"/>
      <c r="Q44" s="334"/>
      <c r="R44" s="334"/>
      <c r="S44" s="335"/>
      <c r="V44" s="166"/>
      <c r="W44" s="166"/>
      <c r="X44" s="166"/>
      <c r="Y44" s="166"/>
      <c r="Z44" s="166"/>
      <c r="AA44" s="166"/>
      <c r="AB44" s="166"/>
      <c r="AC44" s="166"/>
      <c r="AD44" s="166"/>
      <c r="AE44" s="166"/>
      <c r="AF44" s="166"/>
      <c r="AG44" s="166"/>
      <c r="AH44" s="166"/>
      <c r="AI44" s="166"/>
      <c r="AJ44" s="166"/>
      <c r="AK44" s="166"/>
      <c r="AL44" s="166"/>
      <c r="AM44" s="166"/>
    </row>
    <row r="45" spans="2:57">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25" t="s">
        <v>431</v>
      </c>
      <c r="W46" s="325"/>
      <c r="X46" s="325"/>
      <c r="Y46" s="325"/>
      <c r="Z46" s="325"/>
      <c r="AA46" s="325"/>
      <c r="AB46" s="325"/>
      <c r="AC46" s="325"/>
      <c r="AD46" s="325"/>
      <c r="AE46" s="325"/>
      <c r="AF46" s="325"/>
      <c r="AG46" s="325"/>
      <c r="AH46" s="325"/>
      <c r="AI46" s="325"/>
      <c r="AJ46" s="325"/>
      <c r="AK46" s="325"/>
      <c r="AL46" s="325"/>
      <c r="AM46" s="325"/>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c r="B48" s="151" t="s">
        <v>238</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c r="B49" s="151" t="s">
        <v>243</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c r="B50" s="151" t="s">
        <v>439</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c r="B51" s="155" t="s">
        <v>433</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c r="B53" s="151" t="s">
        <v>237</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c r="B54" s="151" t="s">
        <v>497</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c r="B55" s="155" t="s">
        <v>434</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c r="B57" s="151" t="s">
        <v>435</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c r="B58" s="151" t="s">
        <v>436</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c r="B59" s="151" t="s">
        <v>437</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c r="B60" s="151" t="s">
        <v>565</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c r="B61" s="155" t="s">
        <v>438</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c r="B63" s="155" t="s">
        <v>440</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c r="V64" s="166"/>
      <c r="W64" s="166"/>
      <c r="X64" s="166"/>
      <c r="Y64" s="166"/>
      <c r="Z64" s="166"/>
      <c r="AA64" s="166"/>
      <c r="AB64" s="166"/>
      <c r="AC64" s="166"/>
      <c r="AD64" s="166"/>
      <c r="AE64" s="166"/>
      <c r="AF64" s="166"/>
      <c r="AG64" s="166"/>
      <c r="AH64" s="166"/>
      <c r="AI64" s="166"/>
      <c r="AJ64" s="166"/>
      <c r="AK64" s="166"/>
      <c r="AL64" s="166"/>
      <c r="AM64" s="166"/>
    </row>
    <row r="74" spans="43:50">
      <c r="AQ74" s="5"/>
      <c r="AX74" s="94"/>
    </row>
  </sheetData>
  <mergeCells count="17">
    <mergeCell ref="V46:AM46"/>
    <mergeCell ref="B7:S7"/>
    <mergeCell ref="B3:K3"/>
    <mergeCell ref="AZ35:AZ36"/>
    <mergeCell ref="BA35:BA36"/>
    <mergeCell ref="B44:S44"/>
    <mergeCell ref="BB35:BB36"/>
    <mergeCell ref="AY35:AY36"/>
    <mergeCell ref="AX35:AX36"/>
    <mergeCell ref="B4:C4"/>
    <mergeCell ref="D4:E4"/>
    <mergeCell ref="F4:G4"/>
    <mergeCell ref="H4:I4"/>
    <mergeCell ref="J4:K4"/>
    <mergeCell ref="V7:AM7"/>
    <mergeCell ref="B24:S24"/>
    <mergeCell ref="V26:AM26"/>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4" tooltip="Go to Next Sheet" display="HL_Sheet_Main_34"/>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40">
    <pageSetUpPr autoPageBreaks="0"/>
  </sheetPr>
  <dimension ref="A1:AM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16384" width="2.33203125" style="28"/>
  </cols>
  <sheetData>
    <row r="1" spans="1:39" ht="18">
      <c r="B1" s="30" t="s">
        <v>575</v>
      </c>
    </row>
    <row r="2" spans="1:39" ht="15">
      <c r="B2" s="29" t="str">
        <f ca="1">Model_Name</f>
        <v>SMA 7. Outputs &amp; Presentations - Practical Exercise (Solution)</v>
      </c>
    </row>
    <row r="3" spans="1:39">
      <c r="B3" s="332" t="s">
        <v>48</v>
      </c>
      <c r="C3" s="332"/>
      <c r="D3" s="332"/>
      <c r="E3" s="332"/>
      <c r="F3" s="332"/>
      <c r="G3" s="332"/>
      <c r="H3" s="332"/>
      <c r="I3" s="332"/>
      <c r="J3" s="332"/>
      <c r="K3" s="332"/>
      <c r="L3" s="253"/>
    </row>
    <row r="4" spans="1:39" ht="12.75">
      <c r="A4" s="31" t="s">
        <v>51</v>
      </c>
      <c r="B4" s="322" t="s">
        <v>53</v>
      </c>
      <c r="C4" s="322"/>
      <c r="D4" s="323" t="s">
        <v>102</v>
      </c>
      <c r="E4" s="323"/>
      <c r="F4" s="324" t="s">
        <v>205</v>
      </c>
      <c r="G4" s="324"/>
      <c r="H4" s="324" t="s">
        <v>206</v>
      </c>
      <c r="I4" s="324"/>
      <c r="J4" s="324" t="s">
        <v>207</v>
      </c>
      <c r="K4" s="324"/>
    </row>
    <row r="7" spans="1:39" ht="11.25">
      <c r="B7" s="329" t="s">
        <v>47</v>
      </c>
      <c r="C7" s="330"/>
      <c r="D7" s="330"/>
      <c r="E7" s="330"/>
      <c r="F7" s="330"/>
      <c r="G7" s="330"/>
      <c r="H7" s="330"/>
      <c r="I7" s="330"/>
      <c r="J7" s="330"/>
      <c r="K7" s="330"/>
      <c r="L7" s="330"/>
      <c r="M7" s="330"/>
      <c r="N7" s="330"/>
      <c r="O7" s="330"/>
      <c r="P7" s="330"/>
      <c r="Q7" s="330"/>
      <c r="R7" s="330"/>
      <c r="S7" s="331"/>
      <c r="V7"/>
      <c r="W7"/>
      <c r="X7"/>
      <c r="Y7"/>
      <c r="Z7"/>
      <c r="AA7"/>
      <c r="AB7"/>
      <c r="AC7"/>
      <c r="AD7"/>
      <c r="AE7"/>
      <c r="AF7"/>
      <c r="AG7"/>
      <c r="AH7"/>
      <c r="AI7"/>
      <c r="AJ7"/>
      <c r="AK7"/>
      <c r="AL7"/>
      <c r="AM7"/>
    </row>
    <row r="8" spans="1:39">
      <c r="B8" s="148"/>
      <c r="C8" s="148"/>
      <c r="D8" s="148"/>
      <c r="E8" s="148"/>
      <c r="F8" s="148"/>
      <c r="G8" s="148"/>
      <c r="H8" s="148"/>
      <c r="I8" s="148"/>
      <c r="J8" s="148"/>
      <c r="K8" s="148"/>
      <c r="L8" s="148"/>
      <c r="M8" s="148"/>
      <c r="N8" s="148"/>
      <c r="O8" s="148"/>
      <c r="P8" s="148"/>
      <c r="Q8" s="148"/>
      <c r="R8" s="148"/>
      <c r="S8" s="148"/>
      <c r="V8"/>
      <c r="W8"/>
      <c r="X8"/>
      <c r="Y8"/>
      <c r="Z8"/>
      <c r="AA8"/>
      <c r="AB8"/>
      <c r="AC8"/>
      <c r="AD8"/>
      <c r="AE8"/>
      <c r="AF8"/>
      <c r="AG8"/>
      <c r="AH8"/>
      <c r="AI8"/>
      <c r="AJ8"/>
      <c r="AK8"/>
      <c r="AL8"/>
      <c r="AM8"/>
    </row>
    <row r="9" spans="1:39">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c r="W9"/>
      <c r="X9"/>
      <c r="Y9"/>
      <c r="Z9"/>
      <c r="AA9"/>
      <c r="AB9"/>
      <c r="AC9"/>
      <c r="AD9"/>
      <c r="AE9"/>
      <c r="AF9"/>
      <c r="AG9"/>
      <c r="AH9"/>
      <c r="AI9"/>
      <c r="AJ9"/>
      <c r="AK9"/>
      <c r="AL9"/>
      <c r="AM9"/>
    </row>
    <row r="10" spans="1:39">
      <c r="B10" s="148"/>
      <c r="C10" s="148"/>
      <c r="D10" s="148"/>
      <c r="E10" s="148"/>
      <c r="F10" s="148"/>
      <c r="G10" s="148"/>
      <c r="H10" s="148"/>
      <c r="I10" s="148"/>
      <c r="J10" s="148"/>
      <c r="K10" s="148"/>
      <c r="L10" s="148"/>
      <c r="M10" s="148"/>
      <c r="N10" s="148"/>
      <c r="O10" s="148"/>
      <c r="P10" s="148"/>
      <c r="Q10" s="148"/>
      <c r="R10" s="148"/>
      <c r="S10" s="148"/>
      <c r="V10"/>
      <c r="W10"/>
      <c r="X10"/>
      <c r="Y10"/>
      <c r="Z10"/>
      <c r="AA10"/>
      <c r="AB10"/>
      <c r="AC10"/>
      <c r="AD10"/>
      <c r="AE10"/>
      <c r="AF10"/>
      <c r="AG10"/>
      <c r="AH10"/>
      <c r="AI10"/>
      <c r="AJ10"/>
      <c r="AK10"/>
      <c r="AL10"/>
      <c r="AM10"/>
    </row>
    <row r="11" spans="1:39">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c r="W11"/>
      <c r="X11"/>
      <c r="Y11"/>
      <c r="Z11"/>
      <c r="AA11"/>
      <c r="AB11"/>
      <c r="AC11"/>
      <c r="AD11"/>
      <c r="AE11"/>
      <c r="AF11"/>
      <c r="AG11"/>
      <c r="AH11"/>
      <c r="AI11"/>
      <c r="AJ11"/>
      <c r="AK11"/>
      <c r="AL11"/>
      <c r="AM11"/>
    </row>
    <row r="12" spans="1:39">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c r="W12"/>
      <c r="X12"/>
      <c r="Y12"/>
      <c r="Z12"/>
      <c r="AA12"/>
      <c r="AB12"/>
      <c r="AC12"/>
      <c r="AD12"/>
      <c r="AE12"/>
      <c r="AF12"/>
      <c r="AG12"/>
      <c r="AH12"/>
      <c r="AI12"/>
      <c r="AJ12"/>
      <c r="AK12"/>
      <c r="AL12"/>
      <c r="AM12"/>
    </row>
    <row r="13" spans="1:39">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c r="W13"/>
      <c r="X13"/>
      <c r="Y13"/>
      <c r="Z13"/>
      <c r="AA13"/>
      <c r="AB13"/>
      <c r="AC13"/>
      <c r="AD13"/>
      <c r="AE13"/>
      <c r="AF13"/>
      <c r="AG13"/>
      <c r="AH13"/>
      <c r="AI13"/>
      <c r="AJ13"/>
      <c r="AK13"/>
      <c r="AL13"/>
      <c r="AM13"/>
    </row>
    <row r="14" spans="1:39">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c r="W14"/>
      <c r="X14"/>
      <c r="Y14"/>
      <c r="Z14"/>
      <c r="AA14"/>
      <c r="AB14"/>
      <c r="AC14"/>
      <c r="AD14"/>
      <c r="AE14"/>
      <c r="AF14"/>
      <c r="AG14"/>
      <c r="AH14"/>
      <c r="AI14"/>
      <c r="AJ14"/>
      <c r="AK14"/>
      <c r="AL14"/>
      <c r="AM14"/>
    </row>
    <row r="15" spans="1:39">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c r="W15"/>
      <c r="X15"/>
      <c r="Y15"/>
      <c r="Z15"/>
      <c r="AA15"/>
      <c r="AB15"/>
      <c r="AC15"/>
      <c r="AD15"/>
      <c r="AE15"/>
      <c r="AF15"/>
      <c r="AG15"/>
      <c r="AH15"/>
      <c r="AI15"/>
      <c r="AJ15"/>
      <c r="AK15"/>
      <c r="AL15"/>
      <c r="AM15"/>
    </row>
    <row r="16" spans="1:39">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c r="W16"/>
      <c r="X16"/>
      <c r="Y16"/>
      <c r="Z16"/>
      <c r="AA16"/>
      <c r="AB16"/>
      <c r="AC16"/>
      <c r="AD16"/>
      <c r="AE16"/>
      <c r="AF16"/>
      <c r="AG16"/>
      <c r="AH16"/>
      <c r="AI16"/>
      <c r="AJ16"/>
      <c r="AK16"/>
      <c r="AL16"/>
      <c r="AM16"/>
    </row>
    <row r="17" spans="2:39">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c r="W17"/>
      <c r="X17"/>
      <c r="Y17"/>
      <c r="Z17"/>
      <c r="AA17"/>
      <c r="AB17"/>
      <c r="AC17"/>
      <c r="AD17"/>
      <c r="AE17"/>
      <c r="AF17"/>
      <c r="AG17"/>
      <c r="AH17"/>
      <c r="AI17"/>
      <c r="AJ17"/>
      <c r="AK17"/>
      <c r="AL17"/>
      <c r="AM17"/>
    </row>
    <row r="18" spans="2:39">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c r="W18"/>
      <c r="X18"/>
      <c r="Y18"/>
      <c r="Z18"/>
      <c r="AA18"/>
      <c r="AB18"/>
      <c r="AC18"/>
      <c r="AD18"/>
      <c r="AE18"/>
      <c r="AF18"/>
      <c r="AG18"/>
      <c r="AH18"/>
      <c r="AI18"/>
      <c r="AJ18"/>
      <c r="AK18"/>
      <c r="AL18"/>
      <c r="AM18"/>
    </row>
    <row r="19" spans="2:39">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c r="W19"/>
      <c r="X19"/>
      <c r="Y19"/>
      <c r="Z19"/>
      <c r="AA19"/>
      <c r="AB19"/>
      <c r="AC19"/>
      <c r="AD19"/>
      <c r="AE19"/>
      <c r="AF19"/>
      <c r="AG19"/>
      <c r="AH19"/>
      <c r="AI19"/>
      <c r="AJ19"/>
      <c r="AK19"/>
      <c r="AL19"/>
      <c r="AM19"/>
    </row>
    <row r="20" spans="2:39">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c r="W20"/>
      <c r="X20"/>
      <c r="Y20"/>
      <c r="Z20"/>
      <c r="AA20"/>
      <c r="AB20"/>
      <c r="AC20"/>
      <c r="AD20"/>
      <c r="AE20"/>
      <c r="AF20"/>
      <c r="AG20"/>
      <c r="AH20"/>
      <c r="AI20"/>
      <c r="AJ20"/>
      <c r="AK20"/>
      <c r="AL20"/>
      <c r="AM20"/>
    </row>
    <row r="21" spans="2:39"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c r="W21"/>
      <c r="X21"/>
      <c r="Y21"/>
      <c r="Z21"/>
      <c r="AA21"/>
      <c r="AB21"/>
      <c r="AC21"/>
      <c r="AD21"/>
      <c r="AE21"/>
      <c r="AF21"/>
      <c r="AG21"/>
      <c r="AH21"/>
      <c r="AI21"/>
      <c r="AJ21"/>
      <c r="AK21"/>
      <c r="AL21"/>
      <c r="AM21"/>
    </row>
    <row r="22" spans="2:39" ht="11.25" thickTop="1">
      <c r="B22" s="148"/>
      <c r="C22" s="148"/>
      <c r="D22" s="148"/>
      <c r="E22" s="148"/>
      <c r="F22" s="148"/>
      <c r="G22" s="148"/>
      <c r="H22" s="148"/>
      <c r="I22" s="148"/>
      <c r="J22" s="148"/>
      <c r="K22" s="148"/>
      <c r="L22" s="148"/>
      <c r="M22" s="148"/>
      <c r="N22" s="148"/>
      <c r="O22" s="148"/>
      <c r="P22" s="148"/>
      <c r="Q22" s="148"/>
      <c r="R22" s="148"/>
      <c r="S22" s="148"/>
      <c r="V22"/>
      <c r="W22"/>
      <c r="X22"/>
      <c r="Y22"/>
      <c r="Z22"/>
      <c r="AA22"/>
      <c r="AB22"/>
      <c r="AC22"/>
      <c r="AD22"/>
      <c r="AE22"/>
      <c r="AF22"/>
      <c r="AG22"/>
      <c r="AH22"/>
      <c r="AI22"/>
      <c r="AJ22"/>
      <c r="AK22"/>
      <c r="AL22"/>
      <c r="AM22"/>
    </row>
    <row r="23" spans="2:39">
      <c r="B23" s="148"/>
      <c r="C23" s="148"/>
      <c r="D23" s="148"/>
      <c r="E23" s="148"/>
      <c r="F23" s="148"/>
      <c r="G23" s="148"/>
      <c r="H23" s="148"/>
      <c r="I23" s="148"/>
      <c r="J23" s="148"/>
      <c r="K23" s="148"/>
      <c r="L23" s="148"/>
      <c r="M23" s="148"/>
      <c r="N23" s="148"/>
      <c r="O23" s="148"/>
      <c r="P23" s="148"/>
      <c r="Q23" s="148"/>
      <c r="R23" s="148"/>
      <c r="S23" s="148"/>
      <c r="V23"/>
      <c r="W23"/>
      <c r="X23"/>
      <c r="Y23"/>
      <c r="Z23"/>
      <c r="AA23"/>
      <c r="AB23"/>
      <c r="AC23"/>
      <c r="AD23"/>
      <c r="AE23"/>
      <c r="AF23"/>
      <c r="AG23"/>
      <c r="AH23"/>
      <c r="AI23"/>
      <c r="AJ23"/>
      <c r="AK23"/>
      <c r="AL23"/>
      <c r="AM23"/>
    </row>
    <row r="24" spans="2:39">
      <c r="B24" s="148"/>
      <c r="C24" s="148"/>
      <c r="D24" s="148"/>
      <c r="E24" s="148"/>
      <c r="F24" s="148"/>
      <c r="G24" s="148"/>
      <c r="H24" s="148"/>
      <c r="I24" s="148"/>
      <c r="J24" s="148"/>
      <c r="K24" s="148"/>
      <c r="L24" s="148"/>
      <c r="M24" s="148"/>
      <c r="N24" s="148"/>
      <c r="O24" s="148"/>
      <c r="P24" s="148"/>
      <c r="Q24" s="148"/>
      <c r="R24" s="148"/>
      <c r="S24" s="148"/>
      <c r="V24"/>
      <c r="W24"/>
      <c r="X24"/>
      <c r="Y24"/>
      <c r="Z24"/>
      <c r="AA24"/>
      <c r="AB24"/>
      <c r="AC24"/>
      <c r="AD24"/>
      <c r="AE24"/>
      <c r="AF24"/>
      <c r="AG24"/>
      <c r="AH24"/>
      <c r="AI24"/>
      <c r="AJ24"/>
      <c r="AK24"/>
      <c r="AL24"/>
      <c r="AM24"/>
    </row>
    <row r="27" spans="2:39" ht="11.25">
      <c r="B27" s="336" t="s">
        <v>573</v>
      </c>
      <c r="C27" s="337"/>
      <c r="D27" s="337"/>
      <c r="E27" s="337"/>
      <c r="F27" s="337"/>
      <c r="G27" s="337"/>
      <c r="H27" s="337"/>
      <c r="I27" s="337"/>
      <c r="J27" s="337"/>
      <c r="K27" s="337"/>
      <c r="L27" s="337"/>
      <c r="M27" s="337"/>
      <c r="N27" s="337"/>
      <c r="O27" s="337"/>
      <c r="P27" s="337"/>
      <c r="Q27" s="337"/>
      <c r="R27" s="337"/>
      <c r="S27" s="338"/>
      <c r="V27" s="336" t="s">
        <v>430</v>
      </c>
      <c r="W27" s="337"/>
      <c r="X27" s="337"/>
      <c r="Y27" s="337"/>
      <c r="Z27" s="337"/>
      <c r="AA27" s="337"/>
      <c r="AB27" s="337"/>
      <c r="AC27" s="337"/>
      <c r="AD27" s="337"/>
      <c r="AE27" s="337"/>
      <c r="AF27" s="337"/>
      <c r="AG27" s="337"/>
      <c r="AH27" s="337"/>
      <c r="AI27" s="337"/>
      <c r="AJ27" s="337"/>
      <c r="AK27" s="337"/>
      <c r="AL27" s="337"/>
      <c r="AM27" s="338"/>
    </row>
    <row r="28" spans="2:39">
      <c r="B28" s="254"/>
      <c r="C28" s="254"/>
      <c r="D28" s="254"/>
      <c r="E28" s="254"/>
      <c r="F28" s="254"/>
      <c r="G28" s="254"/>
      <c r="H28" s="254"/>
      <c r="I28" s="254"/>
      <c r="J28" s="254"/>
      <c r="K28" s="254"/>
      <c r="L28" s="254"/>
      <c r="M28" s="254"/>
      <c r="N28" s="254"/>
      <c r="O28" s="254"/>
      <c r="P28" s="254"/>
      <c r="Q28" s="254"/>
      <c r="R28" s="254"/>
      <c r="S28" s="254"/>
      <c r="V28" s="254"/>
      <c r="W28" s="254"/>
      <c r="X28" s="254"/>
      <c r="Y28" s="254"/>
      <c r="Z28" s="254"/>
      <c r="AA28" s="254"/>
      <c r="AB28" s="254"/>
      <c r="AC28" s="254"/>
      <c r="AD28" s="254"/>
      <c r="AE28" s="254"/>
      <c r="AF28" s="254"/>
      <c r="AG28" s="254"/>
      <c r="AH28" s="254"/>
      <c r="AI28" s="254"/>
      <c r="AJ28" s="254"/>
      <c r="AK28" s="254"/>
      <c r="AL28" s="254"/>
      <c r="AM28" s="254"/>
    </row>
    <row r="29" spans="2:39">
      <c r="B29" s="254"/>
      <c r="C29" s="254"/>
      <c r="D29" s="254"/>
      <c r="E29" s="254"/>
      <c r="F29" s="254"/>
      <c r="G29" s="254"/>
      <c r="H29" s="254"/>
      <c r="I29" s="254"/>
      <c r="J29" s="254"/>
      <c r="K29" s="254"/>
      <c r="L29" s="254"/>
      <c r="M29" s="254"/>
      <c r="N29" s="254"/>
      <c r="O29" s="254"/>
      <c r="P29" s="254"/>
      <c r="Q29" s="254"/>
      <c r="R29" s="254"/>
      <c r="S29" s="254"/>
      <c r="V29" s="254"/>
      <c r="W29" s="254"/>
      <c r="X29" s="254"/>
      <c r="Y29" s="254"/>
      <c r="Z29" s="254"/>
      <c r="AA29" s="254"/>
      <c r="AB29" s="254"/>
      <c r="AC29" s="254"/>
      <c r="AD29" s="254"/>
      <c r="AE29" s="254"/>
      <c r="AF29" s="254"/>
      <c r="AG29" s="254"/>
      <c r="AH29" s="254"/>
      <c r="AI29" s="254"/>
      <c r="AJ29" s="254"/>
      <c r="AK29" s="254"/>
      <c r="AL29" s="254"/>
      <c r="AM29" s="254"/>
    </row>
    <row r="30" spans="2:39">
      <c r="B30" s="254"/>
      <c r="C30" s="254"/>
      <c r="D30" s="254"/>
      <c r="E30" s="254"/>
      <c r="F30" s="254"/>
      <c r="G30" s="254"/>
      <c r="H30" s="254"/>
      <c r="I30" s="254"/>
      <c r="J30" s="254"/>
      <c r="K30" s="254"/>
      <c r="L30" s="254"/>
      <c r="M30" s="254"/>
      <c r="N30" s="254"/>
      <c r="O30" s="254"/>
      <c r="P30" s="254"/>
      <c r="Q30" s="254"/>
      <c r="R30" s="254"/>
      <c r="S30" s="254"/>
      <c r="V30" s="254"/>
      <c r="W30" s="254"/>
      <c r="X30" s="254"/>
      <c r="Y30" s="254"/>
      <c r="Z30" s="254"/>
      <c r="AA30" s="254"/>
      <c r="AB30" s="254"/>
      <c r="AC30" s="254"/>
      <c r="AD30" s="254"/>
      <c r="AE30" s="254"/>
      <c r="AF30" s="254"/>
      <c r="AG30" s="254"/>
      <c r="AH30" s="254"/>
      <c r="AI30" s="254"/>
      <c r="AJ30" s="254"/>
      <c r="AK30" s="254"/>
      <c r="AL30" s="254"/>
      <c r="AM30" s="254"/>
    </row>
    <row r="31" spans="2:39">
      <c r="B31" s="254"/>
      <c r="C31" s="254"/>
      <c r="D31" s="254"/>
      <c r="E31" s="254"/>
      <c r="F31" s="254"/>
      <c r="G31" s="254"/>
      <c r="H31" s="254"/>
      <c r="I31" s="254"/>
      <c r="J31" s="254"/>
      <c r="K31" s="254"/>
      <c r="L31" s="254"/>
      <c r="M31" s="254"/>
      <c r="N31" s="254"/>
      <c r="O31" s="254"/>
      <c r="P31" s="254"/>
      <c r="Q31" s="254"/>
      <c r="R31" s="254"/>
      <c r="S31" s="254"/>
      <c r="V31" s="254"/>
      <c r="W31" s="254"/>
      <c r="X31" s="254"/>
      <c r="Y31" s="254"/>
      <c r="Z31" s="254"/>
      <c r="AA31" s="254"/>
      <c r="AB31" s="254"/>
      <c r="AC31" s="254"/>
      <c r="AD31" s="254"/>
      <c r="AE31" s="254"/>
      <c r="AF31" s="254"/>
      <c r="AG31" s="254"/>
      <c r="AH31" s="254"/>
      <c r="AI31" s="254"/>
      <c r="AJ31" s="254"/>
      <c r="AK31" s="254"/>
      <c r="AL31" s="254"/>
      <c r="AM31" s="254"/>
    </row>
    <row r="32" spans="2:39">
      <c r="B32" s="254"/>
      <c r="C32" s="254"/>
      <c r="D32" s="254"/>
      <c r="E32" s="254"/>
      <c r="F32" s="254"/>
      <c r="G32" s="254"/>
      <c r="H32" s="254"/>
      <c r="I32" s="254"/>
      <c r="J32" s="254"/>
      <c r="K32" s="254"/>
      <c r="L32" s="254"/>
      <c r="M32" s="254"/>
      <c r="N32" s="254"/>
      <c r="O32" s="254"/>
      <c r="P32" s="254"/>
      <c r="Q32" s="254"/>
      <c r="R32" s="254"/>
      <c r="S32" s="254"/>
      <c r="V32" s="254"/>
      <c r="W32" s="254"/>
      <c r="X32" s="254"/>
      <c r="Y32" s="254"/>
      <c r="Z32" s="254"/>
      <c r="AA32" s="254"/>
      <c r="AB32" s="254"/>
      <c r="AC32" s="254"/>
      <c r="AD32" s="254"/>
      <c r="AE32" s="254"/>
      <c r="AF32" s="254"/>
      <c r="AG32" s="254"/>
      <c r="AH32" s="254"/>
      <c r="AI32" s="254"/>
      <c r="AJ32" s="254"/>
      <c r="AK32" s="254"/>
      <c r="AL32" s="254"/>
      <c r="AM32" s="254"/>
    </row>
    <row r="33" spans="2:39">
      <c r="B33" s="254"/>
      <c r="C33" s="254"/>
      <c r="D33" s="254"/>
      <c r="E33" s="254"/>
      <c r="F33" s="254"/>
      <c r="G33" s="254"/>
      <c r="H33" s="254"/>
      <c r="I33" s="254"/>
      <c r="J33" s="254"/>
      <c r="K33" s="254"/>
      <c r="L33" s="254"/>
      <c r="M33" s="254"/>
      <c r="N33" s="254"/>
      <c r="O33" s="254"/>
      <c r="P33" s="254"/>
      <c r="Q33" s="254"/>
      <c r="R33" s="254"/>
      <c r="S33" s="254"/>
      <c r="V33" s="254"/>
      <c r="W33" s="254"/>
      <c r="X33" s="254"/>
      <c r="Y33" s="254"/>
      <c r="Z33" s="254"/>
      <c r="AA33" s="254"/>
      <c r="AB33" s="254"/>
      <c r="AC33" s="254"/>
      <c r="AD33" s="254"/>
      <c r="AE33" s="254"/>
      <c r="AF33" s="254"/>
      <c r="AG33" s="254"/>
      <c r="AH33" s="254"/>
      <c r="AI33" s="254"/>
      <c r="AJ33" s="254"/>
      <c r="AK33" s="254"/>
      <c r="AL33" s="254"/>
      <c r="AM33" s="254"/>
    </row>
    <row r="34" spans="2:39">
      <c r="B34" s="254"/>
      <c r="C34" s="254"/>
      <c r="D34" s="254"/>
      <c r="E34" s="254"/>
      <c r="F34" s="254"/>
      <c r="G34" s="254"/>
      <c r="H34" s="254"/>
      <c r="I34" s="254"/>
      <c r="J34" s="254"/>
      <c r="K34" s="254"/>
      <c r="L34" s="254"/>
      <c r="M34" s="254"/>
      <c r="N34" s="254"/>
      <c r="O34" s="254"/>
      <c r="P34" s="254"/>
      <c r="Q34" s="254"/>
      <c r="R34" s="254"/>
      <c r="S34" s="254"/>
      <c r="V34" s="254"/>
      <c r="W34" s="254"/>
      <c r="X34" s="254"/>
      <c r="Y34" s="254"/>
      <c r="Z34" s="254"/>
      <c r="AA34" s="254"/>
      <c r="AB34" s="254"/>
      <c r="AC34" s="254"/>
      <c r="AD34" s="254"/>
      <c r="AE34" s="254"/>
      <c r="AF34" s="254"/>
      <c r="AG34" s="254"/>
      <c r="AH34" s="254"/>
      <c r="AI34" s="254"/>
      <c r="AJ34" s="254"/>
      <c r="AK34" s="254"/>
      <c r="AL34" s="254"/>
      <c r="AM34" s="254"/>
    </row>
    <row r="35" spans="2:39">
      <c r="B35" s="254"/>
      <c r="C35" s="254"/>
      <c r="D35" s="254"/>
      <c r="E35" s="254"/>
      <c r="F35" s="254"/>
      <c r="G35" s="254"/>
      <c r="H35" s="254"/>
      <c r="I35" s="254"/>
      <c r="J35" s="254"/>
      <c r="K35" s="254"/>
      <c r="L35" s="254"/>
      <c r="M35" s="254"/>
      <c r="N35" s="254"/>
      <c r="O35" s="254"/>
      <c r="P35" s="254"/>
      <c r="Q35" s="254"/>
      <c r="R35" s="254"/>
      <c r="S35" s="254"/>
      <c r="V35" s="254"/>
      <c r="W35" s="254"/>
      <c r="X35" s="254"/>
      <c r="Y35" s="254"/>
      <c r="Z35" s="254"/>
      <c r="AA35" s="254"/>
      <c r="AB35" s="254"/>
      <c r="AC35" s="254"/>
      <c r="AD35" s="254"/>
      <c r="AE35" s="254"/>
      <c r="AF35" s="254"/>
      <c r="AG35" s="254"/>
      <c r="AH35" s="254"/>
      <c r="AI35" s="254"/>
      <c r="AJ35" s="254"/>
      <c r="AK35" s="254"/>
      <c r="AL35" s="254"/>
      <c r="AM35" s="254"/>
    </row>
    <row r="36" spans="2:39">
      <c r="B36" s="254"/>
      <c r="C36" s="254"/>
      <c r="D36" s="254"/>
      <c r="E36" s="254"/>
      <c r="F36" s="254"/>
      <c r="G36" s="254"/>
      <c r="H36" s="254"/>
      <c r="I36" s="254"/>
      <c r="J36" s="254"/>
      <c r="K36" s="254"/>
      <c r="L36" s="254"/>
      <c r="M36" s="254"/>
      <c r="N36" s="254"/>
      <c r="O36" s="254"/>
      <c r="P36" s="254"/>
      <c r="Q36" s="254"/>
      <c r="R36" s="254"/>
      <c r="S36" s="254"/>
      <c r="V36" s="254"/>
      <c r="W36" s="254"/>
      <c r="X36" s="254"/>
      <c r="Y36" s="254"/>
      <c r="Z36" s="254"/>
      <c r="AA36" s="254"/>
      <c r="AB36" s="254"/>
      <c r="AC36" s="254"/>
      <c r="AD36" s="254"/>
      <c r="AE36" s="254"/>
      <c r="AF36" s="254"/>
      <c r="AG36" s="254"/>
      <c r="AH36" s="254"/>
      <c r="AI36" s="254"/>
      <c r="AJ36" s="254"/>
      <c r="AK36" s="254"/>
      <c r="AL36" s="254"/>
      <c r="AM36" s="254"/>
    </row>
    <row r="37" spans="2:39">
      <c r="B37" s="254"/>
      <c r="C37" s="254"/>
      <c r="D37" s="254"/>
      <c r="E37" s="254"/>
      <c r="F37" s="254"/>
      <c r="G37" s="254"/>
      <c r="H37" s="254"/>
      <c r="I37" s="254"/>
      <c r="J37" s="254"/>
      <c r="K37" s="254"/>
      <c r="L37" s="254"/>
      <c r="M37" s="254"/>
      <c r="N37" s="254"/>
      <c r="O37" s="254"/>
      <c r="P37" s="254"/>
      <c r="Q37" s="254"/>
      <c r="R37" s="254"/>
      <c r="S37" s="254"/>
      <c r="V37" s="254"/>
      <c r="W37" s="254"/>
      <c r="X37" s="254"/>
      <c r="Y37" s="254"/>
      <c r="Z37" s="254"/>
      <c r="AA37" s="254"/>
      <c r="AB37" s="254"/>
      <c r="AC37" s="254"/>
      <c r="AD37" s="254"/>
      <c r="AE37" s="254"/>
      <c r="AF37" s="254"/>
      <c r="AG37" s="254"/>
      <c r="AH37" s="254"/>
      <c r="AI37" s="254"/>
      <c r="AJ37" s="254"/>
      <c r="AK37" s="254"/>
      <c r="AL37" s="254"/>
      <c r="AM37" s="254"/>
    </row>
    <row r="38" spans="2:39">
      <c r="B38" s="254"/>
      <c r="C38" s="254"/>
      <c r="D38" s="254"/>
      <c r="E38" s="254"/>
      <c r="F38" s="254"/>
      <c r="G38" s="254"/>
      <c r="H38" s="254"/>
      <c r="I38" s="254"/>
      <c r="J38" s="254"/>
      <c r="K38" s="254"/>
      <c r="L38" s="254"/>
      <c r="M38" s="254"/>
      <c r="N38" s="254"/>
      <c r="O38" s="254"/>
      <c r="P38" s="254"/>
      <c r="Q38" s="254"/>
      <c r="R38" s="254"/>
      <c r="S38" s="254"/>
      <c r="V38" s="254"/>
      <c r="W38" s="254"/>
      <c r="X38" s="254"/>
      <c r="Y38" s="254"/>
      <c r="Z38" s="254"/>
      <c r="AA38" s="254"/>
      <c r="AB38" s="254"/>
      <c r="AC38" s="254"/>
      <c r="AD38" s="254"/>
      <c r="AE38" s="254"/>
      <c r="AF38" s="254"/>
      <c r="AG38" s="254"/>
      <c r="AH38" s="254"/>
      <c r="AI38" s="254"/>
      <c r="AJ38" s="254"/>
      <c r="AK38" s="254"/>
      <c r="AL38" s="254"/>
      <c r="AM38" s="254"/>
    </row>
    <row r="39" spans="2:39">
      <c r="B39" s="254"/>
      <c r="C39" s="254"/>
      <c r="D39" s="254"/>
      <c r="E39" s="254"/>
      <c r="F39" s="254"/>
      <c r="G39" s="254"/>
      <c r="H39" s="254"/>
      <c r="I39" s="254"/>
      <c r="J39" s="254"/>
      <c r="K39" s="254"/>
      <c r="L39" s="254"/>
      <c r="M39" s="254"/>
      <c r="N39" s="254"/>
      <c r="O39" s="254"/>
      <c r="P39" s="254"/>
      <c r="Q39" s="254"/>
      <c r="R39" s="254"/>
      <c r="S39" s="254"/>
      <c r="V39" s="254"/>
      <c r="W39" s="254"/>
      <c r="X39" s="254"/>
      <c r="Y39" s="254"/>
      <c r="Z39" s="254"/>
      <c r="AA39" s="254"/>
      <c r="AB39" s="254"/>
      <c r="AC39" s="254"/>
      <c r="AD39" s="254"/>
      <c r="AE39" s="254"/>
      <c r="AF39" s="254"/>
      <c r="AG39" s="254"/>
      <c r="AH39" s="254"/>
      <c r="AI39" s="254"/>
      <c r="AJ39" s="254"/>
      <c r="AK39" s="254"/>
      <c r="AL39" s="254"/>
      <c r="AM39" s="254"/>
    </row>
    <row r="40" spans="2:39">
      <c r="B40" s="254"/>
      <c r="C40" s="254"/>
      <c r="D40" s="254"/>
      <c r="E40" s="254"/>
      <c r="F40" s="254"/>
      <c r="G40" s="254"/>
      <c r="H40" s="254"/>
      <c r="I40" s="254"/>
      <c r="J40" s="254"/>
      <c r="K40" s="254"/>
      <c r="L40" s="254"/>
      <c r="M40" s="254"/>
      <c r="N40" s="254"/>
      <c r="O40" s="254"/>
      <c r="P40" s="254"/>
      <c r="Q40" s="254"/>
      <c r="R40" s="254"/>
      <c r="S40" s="254"/>
      <c r="V40" s="254"/>
      <c r="W40" s="254"/>
      <c r="X40" s="254"/>
      <c r="Y40" s="254"/>
      <c r="Z40" s="254"/>
      <c r="AA40" s="254"/>
      <c r="AB40" s="254"/>
      <c r="AC40" s="254"/>
      <c r="AD40" s="254"/>
      <c r="AE40" s="254"/>
      <c r="AF40" s="254"/>
      <c r="AG40" s="254"/>
      <c r="AH40" s="254"/>
      <c r="AI40" s="254"/>
      <c r="AJ40" s="254"/>
      <c r="AK40" s="254"/>
      <c r="AL40" s="254"/>
      <c r="AM40" s="254"/>
    </row>
    <row r="41" spans="2:39">
      <c r="B41" s="254"/>
      <c r="C41" s="254"/>
      <c r="D41" s="254"/>
      <c r="E41" s="254"/>
      <c r="F41" s="254"/>
      <c r="G41" s="254"/>
      <c r="H41" s="254"/>
      <c r="I41" s="254"/>
      <c r="J41" s="254"/>
      <c r="K41" s="254"/>
      <c r="L41" s="254"/>
      <c r="M41" s="254"/>
      <c r="N41" s="254"/>
      <c r="O41" s="254"/>
      <c r="P41" s="254"/>
      <c r="Q41" s="254"/>
      <c r="R41" s="254"/>
      <c r="S41" s="254"/>
      <c r="V41" s="254"/>
      <c r="W41" s="254"/>
      <c r="X41" s="254"/>
      <c r="Y41" s="254"/>
      <c r="Z41" s="254"/>
      <c r="AA41" s="254"/>
      <c r="AB41" s="254"/>
      <c r="AC41" s="254"/>
      <c r="AD41" s="254"/>
      <c r="AE41" s="254"/>
      <c r="AF41" s="254"/>
      <c r="AG41" s="254"/>
      <c r="AH41" s="254"/>
      <c r="AI41" s="254"/>
      <c r="AJ41" s="254"/>
      <c r="AK41" s="254"/>
      <c r="AL41" s="254"/>
      <c r="AM41" s="254"/>
    </row>
    <row r="42" spans="2:39">
      <c r="B42" s="254"/>
      <c r="C42" s="254"/>
      <c r="D42" s="254"/>
      <c r="E42" s="254"/>
      <c r="F42" s="254"/>
      <c r="G42" s="254"/>
      <c r="H42" s="254"/>
      <c r="I42" s="254"/>
      <c r="J42" s="254"/>
      <c r="K42" s="254"/>
      <c r="L42" s="254"/>
      <c r="M42" s="254"/>
      <c r="N42" s="254"/>
      <c r="O42" s="254"/>
      <c r="P42" s="254"/>
      <c r="Q42" s="254"/>
      <c r="R42" s="254"/>
      <c r="S42" s="254"/>
      <c r="V42" s="254"/>
      <c r="W42" s="254"/>
      <c r="X42" s="254"/>
      <c r="Y42" s="254"/>
      <c r="Z42" s="254"/>
      <c r="AA42" s="254"/>
      <c r="AB42" s="254"/>
      <c r="AC42" s="254"/>
      <c r="AD42" s="254"/>
      <c r="AE42" s="254"/>
      <c r="AF42" s="254"/>
      <c r="AG42" s="254"/>
      <c r="AH42" s="254"/>
      <c r="AI42" s="254"/>
      <c r="AJ42" s="254"/>
      <c r="AK42" s="254"/>
      <c r="AL42" s="254"/>
      <c r="AM42" s="254"/>
    </row>
    <row r="43" spans="2:39">
      <c r="B43" s="254"/>
      <c r="C43" s="254"/>
      <c r="D43" s="254"/>
      <c r="E43" s="254"/>
      <c r="F43" s="254"/>
      <c r="G43" s="254"/>
      <c r="H43" s="254"/>
      <c r="I43" s="254"/>
      <c r="J43" s="254"/>
      <c r="K43" s="254"/>
      <c r="L43" s="254"/>
      <c r="M43" s="254"/>
      <c r="N43" s="254"/>
      <c r="O43" s="254"/>
      <c r="P43" s="254"/>
      <c r="Q43" s="254"/>
      <c r="R43" s="254"/>
      <c r="S43" s="254"/>
      <c r="V43" s="254"/>
      <c r="W43" s="254"/>
      <c r="X43" s="254"/>
      <c r="Y43" s="254"/>
      <c r="Z43" s="254"/>
      <c r="AA43" s="254"/>
      <c r="AB43" s="254"/>
      <c r="AC43" s="254"/>
      <c r="AD43" s="254"/>
      <c r="AE43" s="254"/>
      <c r="AF43" s="254"/>
      <c r="AG43" s="254"/>
      <c r="AH43" s="254"/>
      <c r="AI43" s="254"/>
      <c r="AJ43" s="254"/>
      <c r="AK43" s="254"/>
      <c r="AL43" s="254"/>
      <c r="AM43" s="254"/>
    </row>
    <row r="44" spans="2:39">
      <c r="B44" s="254"/>
      <c r="C44" s="254"/>
      <c r="D44" s="254"/>
      <c r="E44" s="254"/>
      <c r="F44" s="254"/>
      <c r="G44" s="254"/>
      <c r="H44" s="254"/>
      <c r="I44" s="254"/>
      <c r="J44" s="254"/>
      <c r="K44" s="254"/>
      <c r="L44" s="254"/>
      <c r="M44" s="254"/>
      <c r="N44" s="254"/>
      <c r="O44" s="254"/>
      <c r="P44" s="254"/>
      <c r="Q44" s="254"/>
      <c r="R44" s="254"/>
      <c r="S44" s="254"/>
      <c r="V44" s="254"/>
      <c r="W44" s="254"/>
      <c r="X44" s="254"/>
      <c r="Y44" s="254"/>
      <c r="Z44" s="254"/>
      <c r="AA44" s="254"/>
      <c r="AB44" s="254"/>
      <c r="AC44" s="254"/>
      <c r="AD44" s="254"/>
      <c r="AE44" s="254"/>
      <c r="AF44" s="254"/>
      <c r="AG44" s="254"/>
      <c r="AH44" s="254"/>
      <c r="AI44" s="254"/>
      <c r="AJ44" s="254"/>
      <c r="AK44" s="254"/>
      <c r="AL44" s="254"/>
      <c r="AM44" s="254"/>
    </row>
    <row r="47" spans="2:39" ht="11.25">
      <c r="B47" s="336" t="s">
        <v>574</v>
      </c>
      <c r="C47" s="337"/>
      <c r="D47" s="337"/>
      <c r="E47" s="337"/>
      <c r="F47" s="337"/>
      <c r="G47" s="337"/>
      <c r="H47" s="337"/>
      <c r="I47" s="337"/>
      <c r="J47" s="337"/>
      <c r="K47" s="337"/>
      <c r="L47" s="337"/>
      <c r="M47" s="337"/>
      <c r="N47" s="337"/>
      <c r="O47" s="337"/>
      <c r="P47" s="337"/>
      <c r="Q47" s="337"/>
      <c r="R47" s="337"/>
      <c r="S47" s="338"/>
      <c r="V47" s="336" t="s">
        <v>431</v>
      </c>
      <c r="W47" s="337"/>
      <c r="X47" s="337"/>
      <c r="Y47" s="337"/>
      <c r="Z47" s="337"/>
      <c r="AA47" s="337"/>
      <c r="AB47" s="337"/>
      <c r="AC47" s="337"/>
      <c r="AD47" s="337"/>
      <c r="AE47" s="337"/>
      <c r="AF47" s="337"/>
      <c r="AG47" s="337"/>
      <c r="AH47" s="337"/>
      <c r="AI47" s="337"/>
      <c r="AJ47" s="337"/>
      <c r="AK47" s="337"/>
      <c r="AL47" s="337"/>
      <c r="AM47" s="338"/>
    </row>
    <row r="48" spans="2:39">
      <c r="B48" s="254"/>
      <c r="C48" s="254"/>
      <c r="D48" s="254"/>
      <c r="E48" s="254"/>
      <c r="F48" s="254"/>
      <c r="G48" s="254"/>
      <c r="H48" s="254"/>
      <c r="I48" s="254"/>
      <c r="J48" s="254"/>
      <c r="K48" s="254"/>
      <c r="L48" s="254"/>
      <c r="M48" s="254"/>
      <c r="N48" s="254"/>
      <c r="O48" s="254"/>
      <c r="P48" s="254"/>
      <c r="Q48" s="254"/>
      <c r="R48" s="254"/>
      <c r="S48" s="254"/>
      <c r="V48" s="254"/>
      <c r="W48" s="254"/>
      <c r="X48" s="254"/>
      <c r="Y48" s="254"/>
      <c r="Z48" s="254"/>
      <c r="AA48" s="254"/>
      <c r="AB48" s="254"/>
      <c r="AC48" s="254"/>
      <c r="AD48" s="254"/>
      <c r="AE48" s="254"/>
      <c r="AF48" s="254"/>
      <c r="AG48" s="254"/>
      <c r="AH48" s="254"/>
      <c r="AI48" s="254"/>
      <c r="AJ48" s="254"/>
      <c r="AK48" s="254"/>
      <c r="AL48" s="254"/>
      <c r="AM48" s="254"/>
    </row>
    <row r="49" spans="2:39">
      <c r="B49" s="254"/>
      <c r="C49" s="254"/>
      <c r="D49" s="254"/>
      <c r="E49" s="254"/>
      <c r="F49" s="254"/>
      <c r="G49" s="254"/>
      <c r="H49" s="254"/>
      <c r="I49" s="254"/>
      <c r="J49" s="254"/>
      <c r="K49" s="254"/>
      <c r="L49" s="254"/>
      <c r="M49" s="254"/>
      <c r="N49" s="254"/>
      <c r="O49" s="254"/>
      <c r="P49" s="254"/>
      <c r="Q49" s="254"/>
      <c r="R49" s="254"/>
      <c r="S49" s="254"/>
      <c r="V49" s="254"/>
      <c r="W49" s="254"/>
      <c r="X49" s="254"/>
      <c r="Y49" s="254"/>
      <c r="Z49" s="254"/>
      <c r="AA49" s="254"/>
      <c r="AB49" s="254"/>
      <c r="AC49" s="254"/>
      <c r="AD49" s="254"/>
      <c r="AE49" s="254"/>
      <c r="AF49" s="254"/>
      <c r="AG49" s="254"/>
      <c r="AH49" s="254"/>
      <c r="AI49" s="254"/>
      <c r="AJ49" s="254"/>
      <c r="AK49" s="254"/>
      <c r="AL49" s="254"/>
      <c r="AM49" s="254"/>
    </row>
    <row r="50" spans="2:39">
      <c r="B50" s="254"/>
      <c r="C50" s="254"/>
      <c r="D50" s="254"/>
      <c r="E50" s="254"/>
      <c r="F50" s="254"/>
      <c r="G50" s="254"/>
      <c r="H50" s="254"/>
      <c r="I50" s="254"/>
      <c r="J50" s="254"/>
      <c r="K50" s="254"/>
      <c r="L50" s="254"/>
      <c r="M50" s="254"/>
      <c r="N50" s="254"/>
      <c r="O50" s="254"/>
      <c r="P50" s="254"/>
      <c r="Q50" s="254"/>
      <c r="R50" s="254"/>
      <c r="S50" s="254"/>
      <c r="V50" s="254"/>
      <c r="W50" s="254"/>
      <c r="X50" s="254"/>
      <c r="Y50" s="254"/>
      <c r="Z50" s="254"/>
      <c r="AA50" s="254"/>
      <c r="AB50" s="254"/>
      <c r="AC50" s="254"/>
      <c r="AD50" s="254"/>
      <c r="AE50" s="254"/>
      <c r="AF50" s="254"/>
      <c r="AG50" s="254"/>
      <c r="AH50" s="254"/>
      <c r="AI50" s="254"/>
      <c r="AJ50" s="254"/>
      <c r="AK50" s="254"/>
      <c r="AL50" s="254"/>
      <c r="AM50" s="254"/>
    </row>
    <row r="51" spans="2:39">
      <c r="B51" s="254"/>
      <c r="C51" s="254"/>
      <c r="D51" s="254"/>
      <c r="E51" s="254"/>
      <c r="F51" s="254"/>
      <c r="G51" s="254"/>
      <c r="H51" s="254"/>
      <c r="I51" s="254"/>
      <c r="J51" s="254"/>
      <c r="K51" s="254"/>
      <c r="L51" s="254"/>
      <c r="M51" s="254"/>
      <c r="N51" s="254"/>
      <c r="O51" s="254"/>
      <c r="P51" s="254"/>
      <c r="Q51" s="254"/>
      <c r="R51" s="254"/>
      <c r="S51" s="254"/>
      <c r="V51" s="254"/>
      <c r="W51" s="254"/>
      <c r="X51" s="254"/>
      <c r="Y51" s="254"/>
      <c r="Z51" s="254"/>
      <c r="AA51" s="254"/>
      <c r="AB51" s="254"/>
      <c r="AC51" s="254"/>
      <c r="AD51" s="254"/>
      <c r="AE51" s="254"/>
      <c r="AF51" s="254"/>
      <c r="AG51" s="254"/>
      <c r="AH51" s="254"/>
      <c r="AI51" s="254"/>
      <c r="AJ51" s="254"/>
      <c r="AK51" s="254"/>
      <c r="AL51" s="254"/>
      <c r="AM51" s="254"/>
    </row>
    <row r="52" spans="2:39">
      <c r="B52" s="254"/>
      <c r="C52" s="254"/>
      <c r="D52" s="254"/>
      <c r="E52" s="254"/>
      <c r="F52" s="254"/>
      <c r="G52" s="254"/>
      <c r="H52" s="254"/>
      <c r="I52" s="254"/>
      <c r="J52" s="254"/>
      <c r="K52" s="254"/>
      <c r="L52" s="254"/>
      <c r="M52" s="254"/>
      <c r="N52" s="254"/>
      <c r="O52" s="254"/>
      <c r="P52" s="254"/>
      <c r="Q52" s="254"/>
      <c r="R52" s="254"/>
      <c r="S52" s="254"/>
      <c r="V52" s="254"/>
      <c r="W52" s="254"/>
      <c r="X52" s="254"/>
      <c r="Y52" s="254"/>
      <c r="Z52" s="254"/>
      <c r="AA52" s="254"/>
      <c r="AB52" s="254"/>
      <c r="AC52" s="254"/>
      <c r="AD52" s="254"/>
      <c r="AE52" s="254"/>
      <c r="AF52" s="254"/>
      <c r="AG52" s="254"/>
      <c r="AH52" s="254"/>
      <c r="AI52" s="254"/>
      <c r="AJ52" s="254"/>
      <c r="AK52" s="254"/>
      <c r="AL52" s="254"/>
      <c r="AM52" s="254"/>
    </row>
    <row r="53" spans="2:39">
      <c r="B53" s="254"/>
      <c r="C53" s="254"/>
      <c r="D53" s="254"/>
      <c r="E53" s="254"/>
      <c r="F53" s="254"/>
      <c r="G53" s="254"/>
      <c r="H53" s="254"/>
      <c r="I53" s="254"/>
      <c r="J53" s="254"/>
      <c r="K53" s="254"/>
      <c r="L53" s="254"/>
      <c r="M53" s="254"/>
      <c r="N53" s="254"/>
      <c r="O53" s="254"/>
      <c r="P53" s="254"/>
      <c r="Q53" s="254"/>
      <c r="R53" s="254"/>
      <c r="S53" s="254"/>
      <c r="V53" s="254"/>
      <c r="W53" s="254"/>
      <c r="X53" s="254"/>
      <c r="Y53" s="254"/>
      <c r="Z53" s="254"/>
      <c r="AA53" s="254"/>
      <c r="AB53" s="254"/>
      <c r="AC53" s="254"/>
      <c r="AD53" s="254"/>
      <c r="AE53" s="254"/>
      <c r="AF53" s="254"/>
      <c r="AG53" s="254"/>
      <c r="AH53" s="254"/>
      <c r="AI53" s="254"/>
      <c r="AJ53" s="254"/>
      <c r="AK53" s="254"/>
      <c r="AL53" s="254"/>
      <c r="AM53" s="254"/>
    </row>
    <row r="54" spans="2:39">
      <c r="B54" s="254"/>
      <c r="C54" s="254"/>
      <c r="D54" s="254"/>
      <c r="E54" s="254"/>
      <c r="F54" s="254"/>
      <c r="G54" s="254"/>
      <c r="H54" s="254"/>
      <c r="I54" s="254"/>
      <c r="J54" s="254"/>
      <c r="K54" s="254"/>
      <c r="L54" s="254"/>
      <c r="M54" s="254"/>
      <c r="N54" s="254"/>
      <c r="O54" s="254"/>
      <c r="P54" s="254"/>
      <c r="Q54" s="254"/>
      <c r="R54" s="254"/>
      <c r="S54" s="254"/>
      <c r="V54" s="254"/>
      <c r="W54" s="254"/>
      <c r="X54" s="254"/>
      <c r="Y54" s="254"/>
      <c r="Z54" s="254"/>
      <c r="AA54" s="254"/>
      <c r="AB54" s="254"/>
      <c r="AC54" s="254"/>
      <c r="AD54" s="254"/>
      <c r="AE54" s="254"/>
      <c r="AF54" s="254"/>
      <c r="AG54" s="254"/>
      <c r="AH54" s="254"/>
      <c r="AI54" s="254"/>
      <c r="AJ54" s="254"/>
      <c r="AK54" s="254"/>
      <c r="AL54" s="254"/>
      <c r="AM54" s="254"/>
    </row>
    <row r="55" spans="2:39">
      <c r="B55" s="254"/>
      <c r="C55" s="254"/>
      <c r="D55" s="254"/>
      <c r="E55" s="254"/>
      <c r="F55" s="254"/>
      <c r="G55" s="254"/>
      <c r="H55" s="254"/>
      <c r="I55" s="254"/>
      <c r="J55" s="254"/>
      <c r="K55" s="254"/>
      <c r="L55" s="254"/>
      <c r="M55" s="254"/>
      <c r="N55" s="254"/>
      <c r="O55" s="254"/>
      <c r="P55" s="254"/>
      <c r="Q55" s="254"/>
      <c r="R55" s="254"/>
      <c r="S55" s="254"/>
      <c r="V55" s="254"/>
      <c r="W55" s="254"/>
      <c r="X55" s="254"/>
      <c r="Y55" s="254"/>
      <c r="Z55" s="254"/>
      <c r="AA55" s="254"/>
      <c r="AB55" s="254"/>
      <c r="AC55" s="254"/>
      <c r="AD55" s="254"/>
      <c r="AE55" s="254"/>
      <c r="AF55" s="254"/>
      <c r="AG55" s="254"/>
      <c r="AH55" s="254"/>
      <c r="AI55" s="254"/>
      <c r="AJ55" s="254"/>
      <c r="AK55" s="254"/>
      <c r="AL55" s="254"/>
      <c r="AM55" s="254"/>
    </row>
    <row r="56" spans="2:39">
      <c r="B56" s="254"/>
      <c r="C56" s="254"/>
      <c r="D56" s="254"/>
      <c r="E56" s="254"/>
      <c r="F56" s="254"/>
      <c r="G56" s="254"/>
      <c r="H56" s="254"/>
      <c r="I56" s="254"/>
      <c r="J56" s="254"/>
      <c r="K56" s="254"/>
      <c r="L56" s="254"/>
      <c r="M56" s="254"/>
      <c r="N56" s="254"/>
      <c r="O56" s="254"/>
      <c r="P56" s="254"/>
      <c r="Q56" s="254"/>
      <c r="R56" s="254"/>
      <c r="S56" s="254"/>
      <c r="V56" s="254"/>
      <c r="W56" s="254"/>
      <c r="X56" s="254"/>
      <c r="Y56" s="254"/>
      <c r="Z56" s="254"/>
      <c r="AA56" s="254"/>
      <c r="AB56" s="254"/>
      <c r="AC56" s="254"/>
      <c r="AD56" s="254"/>
      <c r="AE56" s="254"/>
      <c r="AF56" s="254"/>
      <c r="AG56" s="254"/>
      <c r="AH56" s="254"/>
      <c r="AI56" s="254"/>
      <c r="AJ56" s="254"/>
      <c r="AK56" s="254"/>
      <c r="AL56" s="254"/>
      <c r="AM56" s="254"/>
    </row>
    <row r="57" spans="2:39">
      <c r="B57" s="254"/>
      <c r="C57" s="254"/>
      <c r="D57" s="254"/>
      <c r="E57" s="254"/>
      <c r="F57" s="254"/>
      <c r="G57" s="254"/>
      <c r="H57" s="254"/>
      <c r="I57" s="254"/>
      <c r="J57" s="254"/>
      <c r="K57" s="254"/>
      <c r="L57" s="254"/>
      <c r="M57" s="254"/>
      <c r="N57" s="254"/>
      <c r="O57" s="254"/>
      <c r="P57" s="254"/>
      <c r="Q57" s="254"/>
      <c r="R57" s="254"/>
      <c r="S57" s="254"/>
      <c r="V57" s="254"/>
      <c r="W57" s="254"/>
      <c r="X57" s="254"/>
      <c r="Y57" s="254"/>
      <c r="Z57" s="254"/>
      <c r="AA57" s="254"/>
      <c r="AB57" s="254"/>
      <c r="AC57" s="254"/>
      <c r="AD57" s="254"/>
      <c r="AE57" s="254"/>
      <c r="AF57" s="254"/>
      <c r="AG57" s="254"/>
      <c r="AH57" s="254"/>
      <c r="AI57" s="254"/>
      <c r="AJ57" s="254"/>
      <c r="AK57" s="254"/>
      <c r="AL57" s="254"/>
      <c r="AM57" s="254"/>
    </row>
    <row r="58" spans="2:39">
      <c r="B58" s="254"/>
      <c r="C58" s="254"/>
      <c r="D58" s="254"/>
      <c r="E58" s="254"/>
      <c r="F58" s="254"/>
      <c r="G58" s="254"/>
      <c r="H58" s="254"/>
      <c r="I58" s="254"/>
      <c r="J58" s="254"/>
      <c r="K58" s="254"/>
      <c r="L58" s="254"/>
      <c r="M58" s="254"/>
      <c r="N58" s="254"/>
      <c r="O58" s="254"/>
      <c r="P58" s="254"/>
      <c r="Q58" s="254"/>
      <c r="R58" s="254"/>
      <c r="S58" s="254"/>
      <c r="V58" s="254"/>
      <c r="W58" s="254"/>
      <c r="X58" s="254"/>
      <c r="Y58" s="254"/>
      <c r="Z58" s="254"/>
      <c r="AA58" s="254"/>
      <c r="AB58" s="254"/>
      <c r="AC58" s="254"/>
      <c r="AD58" s="254"/>
      <c r="AE58" s="254"/>
      <c r="AF58" s="254"/>
      <c r="AG58" s="254"/>
      <c r="AH58" s="254"/>
      <c r="AI58" s="254"/>
      <c r="AJ58" s="254"/>
      <c r="AK58" s="254"/>
      <c r="AL58" s="254"/>
      <c r="AM58" s="254"/>
    </row>
    <row r="59" spans="2:39">
      <c r="B59" s="254"/>
      <c r="C59" s="254"/>
      <c r="D59" s="254"/>
      <c r="E59" s="254"/>
      <c r="F59" s="254"/>
      <c r="G59" s="254"/>
      <c r="H59" s="254"/>
      <c r="I59" s="254"/>
      <c r="J59" s="254"/>
      <c r="K59" s="254"/>
      <c r="L59" s="254"/>
      <c r="M59" s="254"/>
      <c r="N59" s="254"/>
      <c r="O59" s="254"/>
      <c r="P59" s="254"/>
      <c r="Q59" s="254"/>
      <c r="R59" s="254"/>
      <c r="S59" s="254"/>
      <c r="V59" s="254"/>
      <c r="W59" s="254"/>
      <c r="X59" s="254"/>
      <c r="Y59" s="254"/>
      <c r="Z59" s="254"/>
      <c r="AA59" s="254"/>
      <c r="AB59" s="254"/>
      <c r="AC59" s="254"/>
      <c r="AD59" s="254"/>
      <c r="AE59" s="254"/>
      <c r="AF59" s="254"/>
      <c r="AG59" s="254"/>
      <c r="AH59" s="254"/>
      <c r="AI59" s="254"/>
      <c r="AJ59" s="254"/>
      <c r="AK59" s="254"/>
      <c r="AL59" s="254"/>
      <c r="AM59" s="254"/>
    </row>
    <row r="60" spans="2:39">
      <c r="B60" s="254"/>
      <c r="C60" s="254"/>
      <c r="D60" s="254"/>
      <c r="E60" s="254"/>
      <c r="F60" s="254"/>
      <c r="G60" s="254"/>
      <c r="H60" s="254"/>
      <c r="I60" s="254"/>
      <c r="J60" s="254"/>
      <c r="K60" s="254"/>
      <c r="L60" s="254"/>
      <c r="M60" s="254"/>
      <c r="N60" s="254"/>
      <c r="O60" s="254"/>
      <c r="P60" s="254"/>
      <c r="Q60" s="254"/>
      <c r="R60" s="254"/>
      <c r="S60" s="254"/>
      <c r="V60" s="254"/>
      <c r="W60" s="254"/>
      <c r="X60" s="254"/>
      <c r="Y60" s="254"/>
      <c r="Z60" s="254"/>
      <c r="AA60" s="254"/>
      <c r="AB60" s="254"/>
      <c r="AC60" s="254"/>
      <c r="AD60" s="254"/>
      <c r="AE60" s="254"/>
      <c r="AF60" s="254"/>
      <c r="AG60" s="254"/>
      <c r="AH60" s="254"/>
      <c r="AI60" s="254"/>
      <c r="AJ60" s="254"/>
      <c r="AK60" s="254"/>
      <c r="AL60" s="254"/>
      <c r="AM60" s="254"/>
    </row>
    <row r="61" spans="2:39">
      <c r="B61" s="254"/>
      <c r="C61" s="254"/>
      <c r="D61" s="254"/>
      <c r="E61" s="254"/>
      <c r="F61" s="254"/>
      <c r="G61" s="254"/>
      <c r="H61" s="254"/>
      <c r="I61" s="254"/>
      <c r="J61" s="254"/>
      <c r="K61" s="254"/>
      <c r="L61" s="254"/>
      <c r="M61" s="254"/>
      <c r="N61" s="254"/>
      <c r="O61" s="254"/>
      <c r="P61" s="254"/>
      <c r="Q61" s="254"/>
      <c r="R61" s="254"/>
      <c r="S61" s="254"/>
      <c r="V61" s="254"/>
      <c r="W61" s="254"/>
      <c r="X61" s="254"/>
      <c r="Y61" s="254"/>
      <c r="Z61" s="254"/>
      <c r="AA61" s="254"/>
      <c r="AB61" s="254"/>
      <c r="AC61" s="254"/>
      <c r="AD61" s="254"/>
      <c r="AE61" s="254"/>
      <c r="AF61" s="254"/>
      <c r="AG61" s="254"/>
      <c r="AH61" s="254"/>
      <c r="AI61" s="254"/>
      <c r="AJ61" s="254"/>
      <c r="AK61" s="254"/>
      <c r="AL61" s="254"/>
      <c r="AM61" s="254"/>
    </row>
    <row r="62" spans="2:39">
      <c r="B62" s="254"/>
      <c r="C62" s="254"/>
      <c r="D62" s="254"/>
      <c r="E62" s="254"/>
      <c r="F62" s="254"/>
      <c r="G62" s="254"/>
      <c r="H62" s="254"/>
      <c r="I62" s="254"/>
      <c r="J62" s="254"/>
      <c r="K62" s="254"/>
      <c r="L62" s="254"/>
      <c r="M62" s="254"/>
      <c r="N62" s="254"/>
      <c r="O62" s="254"/>
      <c r="P62" s="254"/>
      <c r="Q62" s="254"/>
      <c r="R62" s="254"/>
      <c r="S62" s="254"/>
      <c r="V62" s="254"/>
      <c r="W62" s="254"/>
      <c r="X62" s="254"/>
      <c r="Y62" s="254"/>
      <c r="Z62" s="254"/>
      <c r="AA62" s="254"/>
      <c r="AB62" s="254"/>
      <c r="AC62" s="254"/>
      <c r="AD62" s="254"/>
      <c r="AE62" s="254"/>
      <c r="AF62" s="254"/>
      <c r="AG62" s="254"/>
      <c r="AH62" s="254"/>
      <c r="AI62" s="254"/>
      <c r="AJ62" s="254"/>
      <c r="AK62" s="254"/>
      <c r="AL62" s="254"/>
      <c r="AM62" s="254"/>
    </row>
    <row r="63" spans="2:39">
      <c r="B63" s="254"/>
      <c r="C63" s="254"/>
      <c r="D63" s="254"/>
      <c r="E63" s="254"/>
      <c r="F63" s="254"/>
      <c r="G63" s="254"/>
      <c r="H63" s="254"/>
      <c r="I63" s="254"/>
      <c r="J63" s="254"/>
      <c r="K63" s="254"/>
      <c r="L63" s="254"/>
      <c r="M63" s="254"/>
      <c r="N63" s="254"/>
      <c r="O63" s="254"/>
      <c r="P63" s="254"/>
      <c r="Q63" s="254"/>
      <c r="R63" s="254"/>
      <c r="S63" s="254"/>
      <c r="V63" s="254"/>
      <c r="W63" s="254"/>
      <c r="X63" s="254"/>
      <c r="Y63" s="254"/>
      <c r="Z63" s="254"/>
      <c r="AA63" s="254"/>
      <c r="AB63" s="254"/>
      <c r="AC63" s="254"/>
      <c r="AD63" s="254"/>
      <c r="AE63" s="254"/>
      <c r="AF63" s="254"/>
      <c r="AG63" s="254"/>
      <c r="AH63" s="254"/>
      <c r="AI63" s="254"/>
      <c r="AJ63" s="254"/>
      <c r="AK63" s="254"/>
      <c r="AL63" s="254"/>
      <c r="AM63" s="254"/>
    </row>
    <row r="64" spans="2:39">
      <c r="B64" s="254"/>
      <c r="C64" s="254"/>
      <c r="D64" s="254"/>
      <c r="E64" s="254"/>
      <c r="F64" s="254"/>
      <c r="G64" s="254"/>
      <c r="H64" s="254"/>
      <c r="I64" s="254"/>
      <c r="J64" s="254"/>
      <c r="K64" s="254"/>
      <c r="L64" s="254"/>
      <c r="M64" s="254"/>
      <c r="N64" s="254"/>
      <c r="O64" s="254"/>
      <c r="P64" s="254"/>
      <c r="Q64" s="254"/>
      <c r="R64" s="254"/>
      <c r="S64" s="254"/>
      <c r="V64" s="254"/>
      <c r="W64" s="254"/>
      <c r="X64" s="254"/>
      <c r="Y64" s="254"/>
      <c r="Z64" s="254"/>
      <c r="AA64" s="254"/>
      <c r="AB64" s="254"/>
      <c r="AC64" s="254"/>
      <c r="AD64" s="254"/>
      <c r="AE64" s="254"/>
      <c r="AF64" s="254"/>
      <c r="AG64" s="254"/>
      <c r="AH64" s="254"/>
      <c r="AI64" s="254"/>
      <c r="AJ64" s="254"/>
      <c r="AK64" s="254"/>
      <c r="AL64" s="254"/>
      <c r="AM64" s="254"/>
    </row>
  </sheetData>
  <mergeCells count="11">
    <mergeCell ref="B3:K3"/>
    <mergeCell ref="B27:S27"/>
    <mergeCell ref="V27:AM27"/>
    <mergeCell ref="B47:S47"/>
    <mergeCell ref="V47:AM47"/>
    <mergeCell ref="B4:C4"/>
    <mergeCell ref="D4:E4"/>
    <mergeCell ref="F4:G4"/>
    <mergeCell ref="H4:I4"/>
    <mergeCell ref="J4:K4"/>
    <mergeCell ref="B7:S7"/>
  </mergeCells>
  <hyperlinks>
    <hyperlink ref="B3" location="HL_Home" tooltip="Go to Table of Contents" display="HL_Home"/>
    <hyperlink ref="A4" location="$B$5" tooltip="Go to Top of Sheet" display="$B$5"/>
    <hyperlink ref="D4" location="HL_Sheet_Main_38" tooltip="Go to Next Sheet" display="HL_Sheet_Main_38"/>
    <hyperlink ref="B4" location="HL_Sheet_Main_19" tooltip="Go to Previous Sheet" display="HL_Sheet_Main_19"/>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510708278" right="0.39370078510708278" top="0.59055116441514754" bottom="0.98425197601318359" header="0" footer="0.31496062992126"/>
  <pageSetup paperSize="8" scale="102" orientation="landscape" horizontalDpi="1200" verticalDpi="1200" r:id="rId1"/>
  <headerFooter>
    <oddFooter>&amp;L&amp;F
&amp;A
Printed: &amp;T on &amp;D&amp;CPage &amp;P of &amp;N</oddFooter>
  </headerFooter>
  <drawing r:id="rId2"/>
</worksheet>
</file>

<file path=xl/worksheets/sheet34.xml><?xml version="1.0" encoding="utf-8"?>
<worksheet xmlns="http://schemas.openxmlformats.org/spreadsheetml/2006/main" xmlns:r="http://schemas.openxmlformats.org/officeDocument/2006/relationships">
  <sheetPr codeName="Sheet41">
    <pageSetUpPr autoPageBreaks="0"/>
  </sheetPr>
  <dimension ref="A1:L4"/>
  <sheetViews>
    <sheetView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2" width="2.33203125" style="28" customWidth="1"/>
    <col min="3" max="16384" width="2.33203125" style="28"/>
  </cols>
  <sheetData>
    <row r="1" spans="1:12" ht="18">
      <c r="B1" s="30" t="s">
        <v>576</v>
      </c>
    </row>
    <row r="2" spans="1:12" ht="15">
      <c r="B2" s="29" t="str">
        <f ca="1">Model_Name</f>
        <v>SMA 7. Outputs &amp; Presentations - Practical Exercise (Solution)</v>
      </c>
    </row>
    <row r="3" spans="1:12">
      <c r="B3" s="332" t="s">
        <v>48</v>
      </c>
      <c r="C3" s="332"/>
      <c r="D3" s="332"/>
      <c r="E3" s="332"/>
      <c r="F3" s="332"/>
      <c r="G3" s="332"/>
      <c r="H3" s="332"/>
      <c r="I3" s="332"/>
      <c r="J3" s="332"/>
      <c r="K3" s="332"/>
      <c r="L3" s="332"/>
    </row>
    <row r="4" spans="1:12" ht="12.75">
      <c r="A4" s="31" t="s">
        <v>51</v>
      </c>
      <c r="B4" s="322" t="s">
        <v>53</v>
      </c>
      <c r="C4" s="322"/>
      <c r="D4" s="323" t="s">
        <v>102</v>
      </c>
      <c r="E4" s="323"/>
      <c r="F4" s="324" t="s">
        <v>205</v>
      </c>
      <c r="G4" s="324"/>
      <c r="H4" s="324" t="s">
        <v>206</v>
      </c>
      <c r="I4" s="324"/>
      <c r="J4" s="324" t="s">
        <v>207</v>
      </c>
      <c r="K4" s="324"/>
    </row>
  </sheetData>
  <mergeCells count="6">
    <mergeCell ref="B3:L3"/>
    <mergeCell ref="B4:C4"/>
    <mergeCell ref="D4:E4"/>
    <mergeCell ref="F4:G4"/>
    <mergeCell ref="H4:I4"/>
    <mergeCell ref="J4:K4"/>
  </mergeCell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34" tooltip="Go to Previous Sheet" display="HL_Sheet_Main_34"/>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99" right="0.39370078740157499" top="0.59055118110236204" bottom="0.98425196850393704" header="0" footer="0.31496062992126"/>
  <pageSetup paperSize="9" orientation="landscape" horizontalDpi="1200" verticalDpi="1200" r:id="rId1"/>
  <headerFooter>
    <oddFooter>&amp;L&amp;F
&amp;A
Printed: &amp;T on &amp;D&amp;CPage &amp;P of &amp;N</oddFooter>
  </headerFooter>
</worksheet>
</file>

<file path=xl/worksheets/sheet35.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7" t="s">
        <v>201</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460</v>
      </c>
    </row>
    <row r="18" spans="3:3">
      <c r="C18" s="26" t="s">
        <v>292</v>
      </c>
    </row>
    <row r="19" spans="3:3">
      <c r="C19" s="26" t="s">
        <v>293</v>
      </c>
    </row>
    <row r="20" spans="3:3">
      <c r="C20" s="26" t="s">
        <v>294</v>
      </c>
    </row>
  </sheetData>
  <mergeCells count="1">
    <mergeCell ref="C12:G12"/>
  </mergeCells>
  <hyperlinks>
    <hyperlink ref="C12" location="HL_Home" tooltip="Go to Table of Contents" display="HL_Home"/>
    <hyperlink ref="C13" location="HL_Sheet_Main_38" tooltip="Go to Previous Sheet" display="HL_Sheet_Main_38"/>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6.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7" t="s">
        <v>514</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461</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3">
    <pageSetUpPr autoPageBreaks="0"/>
  </sheetPr>
  <dimension ref="A1:M62"/>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7. Outputs &amp; Presentations - Practical Exercise (Solution)</v>
      </c>
    </row>
    <row r="3" spans="1:9">
      <c r="B3" s="270" t="s">
        <v>48</v>
      </c>
      <c r="C3" s="270"/>
      <c r="D3" s="270"/>
      <c r="E3" s="270"/>
      <c r="F3" s="270"/>
    </row>
    <row r="4" spans="1:9" ht="12.75">
      <c r="A4" s="10" t="s">
        <v>51</v>
      </c>
      <c r="B4" s="11" t="s">
        <v>53</v>
      </c>
      <c r="C4" s="12" t="s">
        <v>102</v>
      </c>
      <c r="D4" s="263" t="s">
        <v>205</v>
      </c>
      <c r="E4" s="263" t="s">
        <v>206</v>
      </c>
      <c r="F4" s="13" t="s">
        <v>207</v>
      </c>
    </row>
    <row r="7" spans="1:9" ht="12.75">
      <c r="B7" s="32" t="s">
        <v>225</v>
      </c>
    </row>
    <row r="9" spans="1:9" ht="17.25" customHeight="1">
      <c r="C9" s="67" t="b">
        <v>1</v>
      </c>
    </row>
    <row r="11" spans="1:9" ht="11.25">
      <c r="C11" s="33" t="s">
        <v>226</v>
      </c>
    </row>
    <row r="13" spans="1:9">
      <c r="D13" s="72" t="str">
        <f>D25</f>
        <v>Total Errors:</v>
      </c>
      <c r="I13" s="74">
        <f ca="1">Err_Chks_Ttl_Areas</f>
        <v>0</v>
      </c>
    </row>
    <row r="14" spans="1:9">
      <c r="D14" s="75" t="s">
        <v>229</v>
      </c>
      <c r="I14" s="76" t="str">
        <f ca="1">IF(OR(NOT(CB_Err_Chks_Show_Msg),Err_Chks_Ttl_Areas=0),"",IF(Err_Chks_Ttl_Areas=1," (Error in "&amp;INDEX(CA_Err_Chks_Area_Names,MATCH(1,CA_Err_Chks_Flags,0))&amp;")"," ("&amp;TEXT(Err_Chks_Ttl_Areas,"#,##0")&amp;" Errors Detected)"))</f>
        <v/>
      </c>
    </row>
    <row r="16" spans="1:9" ht="11.25">
      <c r="C16" s="33" t="s">
        <v>225</v>
      </c>
    </row>
    <row r="18" spans="2:13">
      <c r="D18" s="68" t="s">
        <v>225</v>
      </c>
      <c r="E18" s="17"/>
      <c r="F18" s="17"/>
      <c r="G18" s="17"/>
      <c r="H18" s="17"/>
      <c r="I18" s="17"/>
      <c r="J18" s="17"/>
      <c r="K18" s="69" t="s">
        <v>227</v>
      </c>
      <c r="L18" s="69" t="s">
        <v>228</v>
      </c>
      <c r="M18" s="69" t="s">
        <v>388</v>
      </c>
    </row>
    <row r="19" spans="2:13" s="15" customFormat="1">
      <c r="D19" s="77"/>
      <c r="E19" s="21"/>
      <c r="F19" s="21"/>
      <c r="G19" s="21"/>
      <c r="H19" s="21"/>
      <c r="I19" s="21"/>
      <c r="J19" s="21"/>
      <c r="K19" s="78"/>
      <c r="L19" s="78"/>
      <c r="M19" s="78"/>
    </row>
    <row r="20" spans="2:13">
      <c r="D20" s="257" t="str">
        <f>IF(ISERROR(Err_Chk_15_Hdg),"Miscellaneous Check",Err_Chk_15_Hdg)</f>
        <v>Ordinary Equity - Outputs</v>
      </c>
      <c r="E20" s="8"/>
      <c r="F20" s="8"/>
      <c r="G20" s="8"/>
      <c r="H20" s="8"/>
      <c r="I20" s="8"/>
      <c r="J20" s="8"/>
      <c r="K20" s="73">
        <f ca="1">IF(ISERROR(HL_Err_Chk_15),1,(HL_Err_Chk_15&lt;&gt;0)*1)</f>
        <v>0</v>
      </c>
      <c r="L20" s="66" t="s">
        <v>86</v>
      </c>
      <c r="M20" s="70">
        <f ca="1">K20*(L20="Yes")</f>
        <v>0</v>
      </c>
    </row>
    <row r="21" spans="2:13" s="15" customFormat="1">
      <c r="D21" s="257" t="str">
        <f>IF(ISERROR(Err_Chk_11_Hdg),"Miscellaneous Check",Err_Chk_11_Hdg)</f>
        <v>Income Statement - Forecast Outputs</v>
      </c>
      <c r="E21" s="8"/>
      <c r="F21" s="8"/>
      <c r="G21" s="8"/>
      <c r="H21" s="8"/>
      <c r="I21" s="8"/>
      <c r="J21" s="8"/>
      <c r="K21" s="73">
        <f ca="1">IF(ISERROR(HL_Err_Chk_11),1,(HL_Err_Chk_11&lt;&gt;0)*1)</f>
        <v>0</v>
      </c>
      <c r="L21" s="66" t="s">
        <v>86</v>
      </c>
      <c r="M21" s="70">
        <f ca="1">K21*(L21="Yes")</f>
        <v>0</v>
      </c>
    </row>
    <row r="22" spans="2:13" s="15" customFormat="1">
      <c r="D22" s="257" t="str">
        <f>IF(ISERROR(Err_Chk_13_Hdg),"Miscellaneous Check",Err_Chk_13_Hdg)</f>
        <v>Balance Sheet - Forecast Outputs</v>
      </c>
      <c r="E22" s="8"/>
      <c r="F22" s="8"/>
      <c r="G22" s="8"/>
      <c r="H22" s="8"/>
      <c r="I22" s="8"/>
      <c r="J22" s="8"/>
      <c r="K22" s="73">
        <f ca="1">IF(ISERROR(HL_Err_Chk_13),1,(HL_Err_Chk_13&lt;&gt;0)*1)</f>
        <v>0</v>
      </c>
      <c r="L22" s="66" t="s">
        <v>86</v>
      </c>
      <c r="M22" s="70">
        <f ca="1">K22*(L22="Yes")</f>
        <v>0</v>
      </c>
    </row>
    <row r="23" spans="2:13" s="15" customFormat="1">
      <c r="D23" s="257" t="str">
        <f>IF(ISERROR(Err_Chk_14_Hdg),"Miscellaneous Check",Err_Chk_14_Hdg)</f>
        <v>Cash Flow Statement - Forecast Outputs</v>
      </c>
      <c r="E23" s="8"/>
      <c r="F23" s="8"/>
      <c r="G23" s="8"/>
      <c r="H23" s="8"/>
      <c r="I23" s="8"/>
      <c r="J23" s="8"/>
      <c r="K23" s="73">
        <f ca="1">IF(ISERROR(HL_Err_Chk_14),1,(HL_Err_Chk_14&lt;&gt;0)*1)</f>
        <v>0</v>
      </c>
      <c r="L23" s="66" t="s">
        <v>86</v>
      </c>
      <c r="M23" s="70">
        <f ca="1">K23*(L23="Yes")</f>
        <v>0</v>
      </c>
    </row>
    <row r="24" spans="2:13" s="15" customFormat="1"/>
    <row r="25" spans="2:13">
      <c r="D25" s="25" t="s">
        <v>389</v>
      </c>
      <c r="M25" s="71">
        <f ca="1">SUMIF(CA_Err_Chks_Inc,"Yes",CA_Err_Chks_Flags)</f>
        <v>0</v>
      </c>
    </row>
    <row r="28" spans="2:13" ht="12.75">
      <c r="B28" s="32" t="s">
        <v>230</v>
      </c>
    </row>
    <row r="30" spans="2:13" ht="17.25" customHeight="1">
      <c r="C30" s="67" t="b">
        <v>1</v>
      </c>
    </row>
    <row r="32" spans="2:13" ht="11.25">
      <c r="C32" s="33" t="s">
        <v>231</v>
      </c>
    </row>
    <row r="34" spans="2:13">
      <c r="D34" s="72" t="str">
        <f>D41</f>
        <v>Total Sensitivities:</v>
      </c>
      <c r="I34" s="74">
        <f>Sens_Chks_Ttl_Areas</f>
        <v>0</v>
      </c>
    </row>
    <row r="35" spans="2:13">
      <c r="D35" s="75" t="s">
        <v>232</v>
      </c>
      <c r="I35" s="76" t="str">
        <f>IF(OR(NOT(CB_Sens_Chks_Show_Msg),Sens_Chks_Ttl_Areas=0),"",IF(Sens_Chks_Ttl_Areas=1," (Sensitivity in "&amp;INDEX(CA_Sens_Chks_Area_Names,MATCH(1,CA_Sens_Chks_Flags,0))&amp;")"," ("&amp;TEXT(Sens_Chks_Ttl_Areas,"#,##0")&amp;" Sensitivities Detected)"))</f>
        <v/>
      </c>
    </row>
    <row r="37" spans="2:13" ht="11.25">
      <c r="C37" s="33" t="s">
        <v>230</v>
      </c>
    </row>
    <row r="39" spans="2:13">
      <c r="D39" s="68" t="s">
        <v>230</v>
      </c>
      <c r="E39" s="17"/>
      <c r="F39" s="17"/>
      <c r="G39" s="17"/>
      <c r="H39" s="17"/>
      <c r="I39" s="17"/>
      <c r="J39" s="17"/>
      <c r="K39" s="69" t="s">
        <v>227</v>
      </c>
      <c r="L39" s="69" t="s">
        <v>228</v>
      </c>
      <c r="M39" s="69" t="s">
        <v>388</v>
      </c>
    </row>
    <row r="40" spans="2:13">
      <c r="D40" s="15"/>
    </row>
    <row r="41" spans="2:13">
      <c r="D41" s="25" t="s">
        <v>390</v>
      </c>
      <c r="M41" s="71">
        <f>SUMIF(CA_Sens_Chks_Inc,"Yes",CA_Sens_Chks_Flags)</f>
        <v>0</v>
      </c>
    </row>
    <row r="44" spans="2:13" ht="12.75">
      <c r="B44" s="32" t="s">
        <v>233</v>
      </c>
    </row>
    <row r="46" spans="2:13" ht="17.25" customHeight="1">
      <c r="C46" s="67" t="b">
        <v>1</v>
      </c>
    </row>
    <row r="48" spans="2:13" ht="11.25">
      <c r="C48" s="33" t="s">
        <v>234</v>
      </c>
    </row>
    <row r="50" spans="3:13">
      <c r="D50" s="72" t="str">
        <f>D62</f>
        <v>Total Alerts:</v>
      </c>
      <c r="I50" s="74">
        <f ca="1">Alt_Chks_Ttl_Areas</f>
        <v>0</v>
      </c>
    </row>
    <row r="51" spans="3:13">
      <c r="D51" s="75" t="s">
        <v>235</v>
      </c>
      <c r="I51" s="76" t="str">
        <f ca="1">IF(OR(NOT(CB_Alt_Chks_Show_Msg),Alt_Chks_Ttl_Areas=0),"",IF(Alt_Chks_Ttl_Areas=1," (Alert in "&amp;INDEX(CA_Alt_Chks_Area_Names,MATCH(1,CA_Alt_Chks_Flags,0))&amp;")"," ("&amp;TEXT(Alt_Chks_Ttl_Areas,"#,##0")&amp;" Alerts Detected)"))</f>
        <v/>
      </c>
    </row>
    <row r="53" spans="3:13" ht="11.25">
      <c r="C53" s="33" t="s">
        <v>233</v>
      </c>
    </row>
    <row r="55" spans="3:13">
      <c r="D55" s="68" t="s">
        <v>233</v>
      </c>
      <c r="E55" s="17"/>
      <c r="F55" s="17"/>
      <c r="G55" s="17"/>
      <c r="H55" s="17"/>
      <c r="I55" s="17"/>
      <c r="J55" s="17"/>
      <c r="K55" s="69" t="s">
        <v>227</v>
      </c>
      <c r="L55" s="69" t="s">
        <v>228</v>
      </c>
      <c r="M55" s="69" t="s">
        <v>388</v>
      </c>
    </row>
    <row r="56" spans="3:13" s="15" customFormat="1">
      <c r="D56" s="77"/>
      <c r="E56" s="21"/>
      <c r="F56" s="21"/>
      <c r="G56" s="21"/>
      <c r="H56" s="21"/>
      <c r="I56" s="21"/>
      <c r="J56" s="21"/>
      <c r="K56" s="78"/>
      <c r="L56" s="78"/>
      <c r="M56" s="78"/>
    </row>
    <row r="57" spans="3:13">
      <c r="D57" s="257" t="str">
        <f>IF(ISERROR(Alt_Chk_1_Hdg),"Miscellaneous Check",Alt_Chk_1_Hdg)</f>
        <v>Balance Sheet - Historical Assumptions</v>
      </c>
      <c r="E57" s="8"/>
      <c r="F57" s="8"/>
      <c r="G57" s="8"/>
      <c r="H57" s="8"/>
      <c r="I57" s="8"/>
      <c r="J57" s="8"/>
      <c r="K57" s="73">
        <f>IF(ISERROR(HL_Alt_Chk_1),1,(HL_Alt_Chk_1&lt;&gt;0)*1)</f>
        <v>0</v>
      </c>
      <c r="L57" s="66" t="s">
        <v>86</v>
      </c>
      <c r="M57" s="70">
        <f>K57*(L57="Yes")</f>
        <v>0</v>
      </c>
    </row>
    <row r="58" spans="3:13" s="15" customFormat="1">
      <c r="D58" s="257" t="str">
        <f>IF(ISERROR(Alt_Chk_2_Hdg),"Miscellaneous Check",Alt_Chk_2_Hdg)</f>
        <v>Balance Sheet - Historical Outputs</v>
      </c>
      <c r="E58" s="8"/>
      <c r="F58" s="8"/>
      <c r="G58" s="8"/>
      <c r="H58" s="8"/>
      <c r="I58" s="8"/>
      <c r="J58" s="8"/>
      <c r="K58" s="73">
        <f>IF(ISERROR(HL_Alt_Chk_2),1,(HL_Alt_Chk_2&lt;&gt;0)*1)</f>
        <v>0</v>
      </c>
      <c r="L58" s="66" t="s">
        <v>86</v>
      </c>
      <c r="M58" s="70">
        <f>K58*(L58="Yes")</f>
        <v>0</v>
      </c>
    </row>
    <row r="59" spans="3:13" s="15" customFormat="1">
      <c r="D59" s="257" t="str">
        <f>IF(ISERROR(Alt_Chk_15_Hdg),"Miscellaneous Check",Alt_Chk_15_Hdg)</f>
        <v>Ordinary Equity - Outputs</v>
      </c>
      <c r="E59" s="8"/>
      <c r="F59" s="8"/>
      <c r="G59" s="8"/>
      <c r="H59" s="8"/>
      <c r="I59" s="8"/>
      <c r="J59" s="8"/>
      <c r="K59" s="73">
        <f ca="1">IF(ISERROR(HL_Alt_Chk_15),1,(HL_Alt_Chk_15&lt;&gt;0)*1)</f>
        <v>0</v>
      </c>
      <c r="L59" s="66" t="s">
        <v>86</v>
      </c>
      <c r="M59" s="70">
        <f ca="1">K59*(L59="Yes")</f>
        <v>0</v>
      </c>
    </row>
    <row r="60" spans="3:13" s="15" customFormat="1">
      <c r="D60" s="257" t="str">
        <f>IF(ISERROR(Alt_Chk_14_Hdg),"Miscellaneous Check",Alt_Chk_14_Hdg)</f>
        <v>Balance Sheet - Forecast Outputs</v>
      </c>
      <c r="E60" s="8"/>
      <c r="F60" s="8"/>
      <c r="G60" s="8"/>
      <c r="H60" s="8"/>
      <c r="I60" s="8"/>
      <c r="J60" s="8"/>
      <c r="K60" s="73">
        <f ca="1">IF(ISERROR(HL_Alt_Chk_14),1,(HL_Alt_Chk_14&lt;&gt;0)*1)</f>
        <v>0</v>
      </c>
      <c r="L60" s="66" t="s">
        <v>86</v>
      </c>
      <c r="M60" s="70">
        <f ca="1">K60*(L60="Yes")</f>
        <v>0</v>
      </c>
    </row>
    <row r="61" spans="3:13" s="15" customFormat="1"/>
    <row r="62" spans="3:13">
      <c r="D62" s="25" t="s">
        <v>391</v>
      </c>
      <c r="M62" s="71">
        <f ca="1">SUMIF(CA_Alt_Chks_Inc,"Yes",CA_Alt_Chks_Flags)</f>
        <v>0</v>
      </c>
    </row>
  </sheetData>
  <mergeCells count="1">
    <mergeCell ref="B3:F3"/>
  </mergeCells>
  <conditionalFormatting sqref="M41 I50 M25 I34 I13">
    <cfRule type="cellIs" dxfId="30" priority="1" stopIfTrue="1" operator="notEqual">
      <formula>0</formula>
    </cfRule>
  </conditionalFormatting>
  <conditionalFormatting sqref="M62">
    <cfRule type="cellIs" dxfId="29" priority="165" stopIfTrue="1" operator="notEqual">
      <formula>0</formula>
    </cfRule>
  </conditionalFormatting>
  <conditionalFormatting sqref="K20:K23">
    <cfRule type="cellIs" dxfId="28" priority="1787" stopIfTrue="1" operator="notEqual">
      <formula>0</formula>
    </cfRule>
  </conditionalFormatting>
  <conditionalFormatting sqref="D20">
    <cfRule type="expression" dxfId="27" priority="2058" stopIfTrue="1">
      <formula>K20&lt;&gt;0</formula>
    </cfRule>
  </conditionalFormatting>
  <conditionalFormatting sqref="L20">
    <cfRule type="expression" dxfId="26" priority="2060" stopIfTrue="1">
      <formula>K20&lt;&gt;0</formula>
    </cfRule>
  </conditionalFormatting>
  <conditionalFormatting sqref="M20">
    <cfRule type="expression" dxfId="25" priority="2061" stopIfTrue="1">
      <formula>K20&lt;&gt;0</formula>
    </cfRule>
  </conditionalFormatting>
  <conditionalFormatting sqref="D21">
    <cfRule type="expression" dxfId="24" priority="2062" stopIfTrue="1">
      <formula>K21&lt;&gt;0</formula>
    </cfRule>
  </conditionalFormatting>
  <conditionalFormatting sqref="L21">
    <cfRule type="expression" dxfId="23" priority="2064" stopIfTrue="1">
      <formula>K21&lt;&gt;0</formula>
    </cfRule>
  </conditionalFormatting>
  <conditionalFormatting sqref="M21">
    <cfRule type="expression" dxfId="22" priority="2065" stopIfTrue="1">
      <formula>K21&lt;&gt;0</formula>
    </cfRule>
  </conditionalFormatting>
  <conditionalFormatting sqref="D22">
    <cfRule type="expression" dxfId="21" priority="2066" stopIfTrue="1">
      <formula>K22&lt;&gt;0</formula>
    </cfRule>
  </conditionalFormatting>
  <conditionalFormatting sqref="L22">
    <cfRule type="expression" dxfId="20" priority="2068" stopIfTrue="1">
      <formula>K22&lt;&gt;0</formula>
    </cfRule>
  </conditionalFormatting>
  <conditionalFormatting sqref="M22">
    <cfRule type="expression" dxfId="19" priority="2069" stopIfTrue="1">
      <formula>K22&lt;&gt;0</formula>
    </cfRule>
  </conditionalFormatting>
  <conditionalFormatting sqref="D23">
    <cfRule type="expression" dxfId="18" priority="2070" stopIfTrue="1">
      <formula>K23&lt;&gt;0</formula>
    </cfRule>
  </conditionalFormatting>
  <conditionalFormatting sqref="L23">
    <cfRule type="expression" dxfId="17" priority="2072" stopIfTrue="1">
      <formula>K23&lt;&gt;0</formula>
    </cfRule>
  </conditionalFormatting>
  <conditionalFormatting sqref="M23">
    <cfRule type="expression" dxfId="16" priority="2073" stopIfTrue="1">
      <formula>K23&lt;&gt;0</formula>
    </cfRule>
  </conditionalFormatting>
  <conditionalFormatting sqref="D57">
    <cfRule type="expression" dxfId="15" priority="2074" stopIfTrue="1">
      <formula>K57&lt;&gt;0</formula>
    </cfRule>
  </conditionalFormatting>
  <conditionalFormatting sqref="K57">
    <cfRule type="cellIs" dxfId="14" priority="2075" stopIfTrue="1" operator="notEqual">
      <formula>0</formula>
    </cfRule>
  </conditionalFormatting>
  <conditionalFormatting sqref="L57">
    <cfRule type="expression" dxfId="13" priority="2076" stopIfTrue="1">
      <formula>K57&lt;&gt;0</formula>
    </cfRule>
  </conditionalFormatting>
  <conditionalFormatting sqref="M57">
    <cfRule type="expression" dxfId="12" priority="2077" stopIfTrue="1">
      <formula>K57&lt;&gt;0</formula>
    </cfRule>
  </conditionalFormatting>
  <conditionalFormatting sqref="D58">
    <cfRule type="expression" dxfId="11" priority="2078" stopIfTrue="1">
      <formula>K58&lt;&gt;0</formula>
    </cfRule>
  </conditionalFormatting>
  <conditionalFormatting sqref="K58">
    <cfRule type="cellIs" dxfId="10" priority="2079" stopIfTrue="1" operator="notEqual">
      <formula>0</formula>
    </cfRule>
  </conditionalFormatting>
  <conditionalFormatting sqref="L58">
    <cfRule type="expression" dxfId="9" priority="2080" stopIfTrue="1">
      <formula>K58&lt;&gt;0</formula>
    </cfRule>
  </conditionalFormatting>
  <conditionalFormatting sqref="M58">
    <cfRule type="expression" dxfId="8" priority="2081" stopIfTrue="1">
      <formula>K58&lt;&gt;0</formula>
    </cfRule>
  </conditionalFormatting>
  <conditionalFormatting sqref="D59">
    <cfRule type="expression" dxfId="7" priority="2082" stopIfTrue="1">
      <formula>K59&lt;&gt;0</formula>
    </cfRule>
  </conditionalFormatting>
  <conditionalFormatting sqref="K59">
    <cfRule type="cellIs" dxfId="6" priority="2083" stopIfTrue="1" operator="notEqual">
      <formula>0</formula>
    </cfRule>
  </conditionalFormatting>
  <conditionalFormatting sqref="L59">
    <cfRule type="expression" dxfId="5" priority="2084" stopIfTrue="1">
      <formula>K59&lt;&gt;0</formula>
    </cfRule>
  </conditionalFormatting>
  <conditionalFormatting sqref="M59">
    <cfRule type="expression" dxfId="4" priority="2085" stopIfTrue="1">
      <formula>K59&lt;&gt;0</formula>
    </cfRule>
  </conditionalFormatting>
  <conditionalFormatting sqref="D60">
    <cfRule type="expression" dxfId="3" priority="2086" stopIfTrue="1">
      <formula>K60&lt;&gt;0</formula>
    </cfRule>
  </conditionalFormatting>
  <conditionalFormatting sqref="K60">
    <cfRule type="cellIs" dxfId="2" priority="2087" stopIfTrue="1" operator="notEqual">
      <formula>0</formula>
    </cfRule>
  </conditionalFormatting>
  <conditionalFormatting sqref="L60">
    <cfRule type="expression" dxfId="1" priority="2088" stopIfTrue="1">
      <formula>K60&lt;&gt;0</formula>
    </cfRule>
  </conditionalFormatting>
  <conditionalFormatting sqref="M60">
    <cfRule type="expression" dxfId="0" priority="2089" stopIfTrue="1">
      <formula>K60&lt;&gt;0</formula>
    </cfRule>
  </conditionalFormatting>
  <dataValidations count="6">
    <dataValidation type="custom" showDropDown="1" showErrorMessage="1" errorTitle="6 Cell Link" error="The value in an option button cell link must be either &quot;TRUE&quot; or &quot;FALSE&quot;" sqref="C46 C9 C30">
      <formula1>ISLOGICAL(C9)</formula1>
    </dataValidation>
    <dataValidation type="list" showErrorMessage="1" errorTitle="Include Error Check" error="The include error check trigger must correspond with one of the options provided in the drop down list." sqref="L20:L23">
      <formula1>"Yes,No"</formula1>
    </dataValidation>
    <dataValidation type="list" showErrorMessage="1" errorTitle="Include Alert Check" error="The include alert check trigger must correspond with one of the options provided in the drop down list." sqref="L57">
      <formula1>"Yes,No"</formula1>
    </dataValidation>
    <dataValidation type="list" showErrorMessage="1" errorTitle="Include Alert Check" error="The include alert check trigger must correspond with one of the options provided in the drop down list." sqref="L58">
      <formula1>"Yes,No"</formula1>
    </dataValidation>
    <dataValidation type="list" showErrorMessage="1" errorTitle="Include Alert Check" error="The include alert check trigger must correspond with one of the options provided in the drop down list." sqref="L59">
      <formula1>"Yes,No"</formula1>
    </dataValidation>
    <dataValidation type="list" showErrorMessage="1" errorTitle="Include Alert Check" error="The include alert check trigger must correspond with one of the options provided in the drop down list." sqref="L60">
      <formula1>"Yes,No"</formula1>
    </dataValidation>
  </dataValidations>
  <hyperlinks>
    <hyperlink ref="D20:J20" location="HL_Err_Chk_15" tooltip="Go to Ordinary Equity - Outputs" display="HL_Err_Chk_15"/>
    <hyperlink ref="D21:J21" location="HL_Err_Chk_11" tooltip="Go to Income Statement - Forecast Outputs" display="HL_Err_Chk_11"/>
    <hyperlink ref="D22:J22" location="HL_Err_Chk_13" tooltip="Go to Balance Sheet - Forecast Outputs" display="HL_Err_Chk_13"/>
    <hyperlink ref="D23:J23" location="HL_Err_Chk_14" tooltip="Go to Cash Flow Statement - Forecast Outputs" display="HL_Err_Chk_14"/>
    <hyperlink ref="D57:J57" location="HL_Alt_Chk_1" tooltip="Go to Balance Sheet - Historical Assumptions" display="HL_Alt_Chk_1"/>
    <hyperlink ref="D58:J58" location="HL_Alt_Chk_2" tooltip="Go to Balance Sheet - Historical Outputs" display="HL_Alt_Chk_2"/>
    <hyperlink ref="D59:J59" location="HL_Alt_Chk_15" tooltip="Go to Ordinary Equity - Outputs" display="HL_Alt_Chk_15"/>
    <hyperlink ref="D60:J60"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27" min="1" max="12" man="1"/>
    <brk id="43" min="1" max="12" man="1"/>
  </rowBreaks>
  <legacyDrawing r:id="rId2"/>
  <legacyDrawingHF r:id="rId3"/>
</worksheet>
</file>

<file path=xl/worksheets/sheet38.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7" t="s">
        <v>516</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461</v>
      </c>
    </row>
    <row r="18" spans="3:3">
      <c r="C18" s="26" t="s">
        <v>394</v>
      </c>
    </row>
    <row r="19" spans="3:3">
      <c r="C19" s="26"/>
    </row>
    <row r="20" spans="3:3">
      <c r="C20" s="26"/>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7. Outputs &amp; Presentations - Practical Exercise (Solution)</v>
      </c>
    </row>
    <row r="3" spans="1:6">
      <c r="B3" s="270" t="s">
        <v>48</v>
      </c>
      <c r="C3" s="270"/>
      <c r="D3" s="270"/>
    </row>
    <row r="4" spans="1:6" ht="12.75">
      <c r="A4" s="10" t="s">
        <v>51</v>
      </c>
      <c r="B4" s="11" t="s">
        <v>53</v>
      </c>
      <c r="C4" s="12" t="s">
        <v>102</v>
      </c>
    </row>
    <row r="7" spans="1:6" ht="12.75">
      <c r="B7" s="32" t="s">
        <v>331</v>
      </c>
    </row>
    <row r="9" spans="1:6" ht="11.25">
      <c r="C9" s="33" t="s">
        <v>332</v>
      </c>
      <c r="F9" s="33" t="s">
        <v>330</v>
      </c>
    </row>
    <row r="11" spans="1:6">
      <c r="D11" s="37" t="s">
        <v>332</v>
      </c>
      <c r="F11" s="26" t="s">
        <v>333</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334</v>
      </c>
      <c r="F44" s="33" t="s">
        <v>330</v>
      </c>
    </row>
    <row r="46" spans="3:6">
      <c r="D46" s="37" t="s">
        <v>334</v>
      </c>
      <c r="F46" s="26" t="s">
        <v>335</v>
      </c>
    </row>
    <row r="47" spans="3:6">
      <c r="D47" s="38" t="s">
        <v>56</v>
      </c>
    </row>
    <row r="48" spans="3:6">
      <c r="D48" s="38" t="s">
        <v>57</v>
      </c>
    </row>
    <row r="49" spans="3:6">
      <c r="D49" s="38" t="s">
        <v>58</v>
      </c>
    </row>
    <row r="50" spans="3:6">
      <c r="D50" s="38" t="s">
        <v>59</v>
      </c>
    </row>
    <row r="51" spans="3:6">
      <c r="D51" s="38" t="s">
        <v>60</v>
      </c>
    </row>
    <row r="52" spans="3:6">
      <c r="D52" s="38" t="s">
        <v>61</v>
      </c>
    </row>
    <row r="53" spans="3:6">
      <c r="D53" s="38" t="s">
        <v>62</v>
      </c>
    </row>
    <row r="54" spans="3:6">
      <c r="D54" s="38" t="s">
        <v>63</v>
      </c>
    </row>
    <row r="55" spans="3:6">
      <c r="D55" s="38" t="s">
        <v>64</v>
      </c>
    </row>
    <row r="56" spans="3:6">
      <c r="D56" s="38" t="s">
        <v>65</v>
      </c>
    </row>
    <row r="57" spans="3:6">
      <c r="D57" s="38" t="s">
        <v>66</v>
      </c>
    </row>
    <row r="58" spans="3:6">
      <c r="D58" s="38" t="s">
        <v>67</v>
      </c>
    </row>
    <row r="60" spans="3:6" ht="11.25">
      <c r="C60" s="33" t="s">
        <v>87</v>
      </c>
      <c r="F60" s="33" t="s">
        <v>330</v>
      </c>
    </row>
    <row r="62" spans="3:6">
      <c r="D62" s="37" t="s">
        <v>87</v>
      </c>
      <c r="F62" s="26" t="s">
        <v>88</v>
      </c>
    </row>
    <row r="63" spans="3:6">
      <c r="D63" s="38" t="s">
        <v>89</v>
      </c>
      <c r="F63" s="26" t="s">
        <v>90</v>
      </c>
    </row>
    <row r="64" spans="3:6">
      <c r="D64" s="38" t="s">
        <v>91</v>
      </c>
      <c r="F64" s="26" t="s">
        <v>92</v>
      </c>
    </row>
    <row r="65" spans="3:6">
      <c r="D65" s="38" t="s">
        <v>93</v>
      </c>
      <c r="F65" s="26" t="s">
        <v>94</v>
      </c>
    </row>
    <row r="66" spans="3:6">
      <c r="D66" s="38" t="s">
        <v>95</v>
      </c>
      <c r="F66" s="26" t="s">
        <v>96</v>
      </c>
    </row>
    <row r="68" spans="3:6" ht="11.25">
      <c r="C68" s="33" t="s">
        <v>336</v>
      </c>
      <c r="F68" s="33" t="s">
        <v>330</v>
      </c>
    </row>
    <row r="70" spans="3:6">
      <c r="D70" s="37" t="s">
        <v>336</v>
      </c>
      <c r="F70" s="26" t="s">
        <v>337</v>
      </c>
    </row>
    <row r="71" spans="3:6">
      <c r="D71" s="38" t="s">
        <v>338</v>
      </c>
    </row>
    <row r="72" spans="3:6">
      <c r="D72" s="38" t="s">
        <v>339</v>
      </c>
    </row>
    <row r="74" spans="3:6" ht="11.25">
      <c r="C74" s="33" t="s">
        <v>340</v>
      </c>
      <c r="F74" s="33" t="s">
        <v>330</v>
      </c>
    </row>
    <row r="76" spans="3:6">
      <c r="D76" s="37" t="s">
        <v>340</v>
      </c>
      <c r="F76" s="26" t="s">
        <v>341</v>
      </c>
    </row>
    <row r="77" spans="3:6">
      <c r="D77" s="38" t="s">
        <v>70</v>
      </c>
      <c r="F77" s="26" t="s">
        <v>70</v>
      </c>
    </row>
    <row r="78" spans="3:6">
      <c r="D78" s="38" t="s">
        <v>71</v>
      </c>
      <c r="F78" s="26" t="s">
        <v>342</v>
      </c>
    </row>
    <row r="79" spans="3:6">
      <c r="D79" s="38" t="s">
        <v>72</v>
      </c>
      <c r="F79" s="26" t="s">
        <v>73</v>
      </c>
    </row>
    <row r="80" spans="3:6">
      <c r="D80" s="38" t="s">
        <v>74</v>
      </c>
      <c r="F80" s="26" t="s">
        <v>75</v>
      </c>
    </row>
    <row r="82" spans="3:6" ht="11.25">
      <c r="C82" s="33" t="s">
        <v>343</v>
      </c>
      <c r="F82" s="33" t="s">
        <v>330</v>
      </c>
    </row>
    <row r="84" spans="3:6">
      <c r="D84" s="37" t="s">
        <v>343</v>
      </c>
      <c r="F84" s="26" t="s">
        <v>344</v>
      </c>
    </row>
    <row r="85" spans="3:6">
      <c r="D85" s="38" t="s">
        <v>76</v>
      </c>
      <c r="F85" s="26" t="s">
        <v>77</v>
      </c>
    </row>
    <row r="86" spans="3:6">
      <c r="D86" s="38" t="s">
        <v>69</v>
      </c>
      <c r="F86" s="26" t="s">
        <v>78</v>
      </c>
    </row>
    <row r="87" spans="3:6">
      <c r="D87" s="38" t="s">
        <v>68</v>
      </c>
      <c r="F87" s="26" t="s">
        <v>79</v>
      </c>
    </row>
    <row r="88" spans="3:6">
      <c r="D88" s="38" t="s">
        <v>55</v>
      </c>
      <c r="F88" s="26" t="s">
        <v>80</v>
      </c>
    </row>
    <row r="90" spans="3:6" ht="11.25">
      <c r="C90" s="33" t="s">
        <v>345</v>
      </c>
      <c r="F90" s="33" t="s">
        <v>330</v>
      </c>
    </row>
    <row r="92" spans="3:6">
      <c r="D92" s="37" t="s">
        <v>345</v>
      </c>
      <c r="F92" s="26" t="s">
        <v>81</v>
      </c>
    </row>
    <row r="93" spans="3:6">
      <c r="D93" s="39">
        <v>1</v>
      </c>
      <c r="F93" s="26" t="s">
        <v>82</v>
      </c>
    </row>
    <row r="94" spans="3:6">
      <c r="D94" s="39">
        <v>2</v>
      </c>
      <c r="F94" s="26" t="s">
        <v>83</v>
      </c>
    </row>
    <row r="95" spans="3:6">
      <c r="D95" s="39">
        <v>4</v>
      </c>
      <c r="F95" s="26" t="s">
        <v>84</v>
      </c>
    </row>
    <row r="96" spans="3:6">
      <c r="D96" s="39">
        <v>12</v>
      </c>
      <c r="F96" s="26" t="s">
        <v>85</v>
      </c>
    </row>
    <row r="98" spans="3:6" ht="11.25">
      <c r="C98" s="33" t="s">
        <v>346</v>
      </c>
      <c r="F98" s="33" t="s">
        <v>330</v>
      </c>
    </row>
    <row r="100" spans="3:6">
      <c r="D100" s="37" t="s">
        <v>346</v>
      </c>
    </row>
    <row r="101" spans="3:6">
      <c r="D101" s="39">
        <v>10</v>
      </c>
      <c r="F101" s="26" t="s">
        <v>97</v>
      </c>
    </row>
    <row r="102" spans="3:6">
      <c r="D102" s="39">
        <v>100</v>
      </c>
      <c r="F102" s="26" t="s">
        <v>98</v>
      </c>
    </row>
    <row r="103" spans="3:6">
      <c r="D103" s="39">
        <v>1000</v>
      </c>
      <c r="F103" s="26" t="s">
        <v>99</v>
      </c>
    </row>
    <row r="104" spans="3:6">
      <c r="D104" s="39">
        <v>1000000</v>
      </c>
      <c r="F104" s="26" t="s">
        <v>100</v>
      </c>
    </row>
    <row r="105" spans="3:6">
      <c r="D105" s="39">
        <v>1000000000</v>
      </c>
      <c r="F105" s="26"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7" t="s">
        <v>192</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461</v>
      </c>
    </row>
    <row r="18" spans="3:3">
      <c r="C18" s="26" t="s">
        <v>204</v>
      </c>
    </row>
    <row r="19" spans="3:3">
      <c r="C19" s="26" t="s">
        <v>297</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40.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7. Outputs &amp; Presentations - Practical Exercise (Solution)</v>
      </c>
    </row>
    <row r="3" spans="1:6">
      <c r="B3" s="270" t="s">
        <v>48</v>
      </c>
      <c r="C3" s="270"/>
      <c r="D3" s="270"/>
    </row>
    <row r="4" spans="1:6" ht="12.75">
      <c r="A4" s="10" t="s">
        <v>51</v>
      </c>
      <c r="B4" s="11" t="s">
        <v>53</v>
      </c>
      <c r="C4" s="12" t="s">
        <v>102</v>
      </c>
    </row>
    <row r="7" spans="1:6" s="15" customFormat="1" ht="12.75">
      <c r="B7" s="99" t="str">
        <f>B1</f>
        <v>Capital - Lookup Tables</v>
      </c>
    </row>
    <row r="8" spans="1:6" s="15" customFormat="1"/>
    <row r="9" spans="1:6" s="15" customFormat="1" ht="11.25">
      <c r="C9" s="93" t="s">
        <v>259</v>
      </c>
      <c r="F9" s="93" t="s">
        <v>54</v>
      </c>
    </row>
    <row r="10" spans="1:6" s="15" customFormat="1"/>
    <row r="11" spans="1:6" s="15" customFormat="1">
      <c r="D11" s="102" t="s">
        <v>260</v>
      </c>
      <c r="F11" s="6" t="s">
        <v>261</v>
      </c>
    </row>
    <row r="12" spans="1:6" s="15" customFormat="1">
      <c r="D12" s="103" t="s">
        <v>262</v>
      </c>
    </row>
    <row r="13" spans="1:6" s="15" customFormat="1">
      <c r="D13" s="103"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1.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443</v>
      </c>
    </row>
    <row r="2" spans="1:6" ht="15">
      <c r="B2" s="2" t="str">
        <f ca="1">Model_Name</f>
        <v>SMA 7. Outputs &amp; Presentations - Practical Exercise (Solution)</v>
      </c>
    </row>
    <row r="3" spans="1:6">
      <c r="B3" s="270" t="s">
        <v>48</v>
      </c>
      <c r="C3" s="270"/>
      <c r="D3" s="270"/>
    </row>
    <row r="4" spans="1:6" ht="12.75">
      <c r="A4" s="10" t="s">
        <v>51</v>
      </c>
      <c r="B4" s="11" t="s">
        <v>53</v>
      </c>
    </row>
    <row r="7" spans="1:6" ht="12.75">
      <c r="B7" s="32" t="s">
        <v>446</v>
      </c>
    </row>
    <row r="9" spans="1:6" ht="11.25">
      <c r="C9" s="33" t="s">
        <v>445</v>
      </c>
      <c r="F9" s="33" t="s">
        <v>330</v>
      </c>
    </row>
    <row r="11" spans="1:6">
      <c r="D11" s="37" t="s">
        <v>444</v>
      </c>
      <c r="F11" s="112" t="s">
        <v>447</v>
      </c>
    </row>
    <row r="12" spans="1:6">
      <c r="D12" s="159" t="str">
        <f>IF(TS_Periodicity=Annual,IS_All_TO!J$7,IS_All_TO!J$6)</f>
        <v xml:space="preserve">2010 (A) </v>
      </c>
      <c r="F12" s="112"/>
    </row>
    <row r="13" spans="1:6">
      <c r="D13" s="159" t="str">
        <f>IF(TS_Periodicity=Annual,IS_All_TO!K$7,IS_All_TO!K$6)</f>
        <v xml:space="preserve">2011 (A) </v>
      </c>
      <c r="F13" s="112"/>
    </row>
    <row r="14" spans="1:6">
      <c r="D14" s="159" t="str">
        <f>IF(TS_Periodicity=Annual,IS_All_TO!L$7,IS_All_TO!L$6)</f>
        <v xml:space="preserve">2012 (A) </v>
      </c>
      <c r="F14" s="112"/>
    </row>
    <row r="15" spans="1:6">
      <c r="D15" s="159" t="str">
        <f>IF(TS_Periodicity=Annual,IS_All_TO!M$7,IS_All_TO!M$6)</f>
        <v xml:space="preserve">2013 (F) </v>
      </c>
      <c r="F15" s="112"/>
    </row>
    <row r="16" spans="1:6">
      <c r="D16" s="159" t="str">
        <f>IF(TS_Periodicity=Annual,IS_All_TO!N$7,IS_All_TO!N$6)</f>
        <v xml:space="preserve">2014 (F) </v>
      </c>
      <c r="F16" s="112"/>
    </row>
    <row r="17" spans="4:6">
      <c r="D17" s="159" t="str">
        <f>IF(TS_Periodicity=Annual,IS_All_TO!O$7,IS_All_TO!O$6)</f>
        <v xml:space="preserve">2015 (F) </v>
      </c>
      <c r="F17" s="112"/>
    </row>
    <row r="18" spans="4:6">
      <c r="D18" s="159" t="str">
        <f>IF(TS_Periodicity=Annual,IS_All_TO!P$7,IS_All_TO!P$6)</f>
        <v xml:space="preserve">2016 (F) </v>
      </c>
      <c r="F18" s="112"/>
    </row>
    <row r="19" spans="4:6">
      <c r="D19" s="159" t="str">
        <f>IF(TS_Periodicity=Annual,IS_All_TO!Q$7,IS_All_TO!Q$6)</f>
        <v xml:space="preserve">2017 (F) </v>
      </c>
      <c r="F19" s="112"/>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8"/>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7. Outputs &amp; Presentations - Practical Exercise (Solution)</v>
      </c>
    </row>
    <row r="3" spans="1:13">
      <c r="B3" s="270" t="s">
        <v>48</v>
      </c>
      <c r="C3" s="270"/>
      <c r="D3" s="270"/>
      <c r="E3" s="270"/>
      <c r="F3" s="270"/>
    </row>
    <row r="4" spans="1:13" ht="12.75">
      <c r="A4" s="10" t="s">
        <v>51</v>
      </c>
      <c r="B4" s="11" t="s">
        <v>53</v>
      </c>
      <c r="C4" s="12" t="s">
        <v>102</v>
      </c>
      <c r="D4" s="263" t="s">
        <v>205</v>
      </c>
      <c r="E4" s="263" t="s">
        <v>206</v>
      </c>
      <c r="F4" s="13" t="s">
        <v>207</v>
      </c>
    </row>
    <row r="7" spans="1:13" s="15" customFormat="1" ht="12.75">
      <c r="C7" s="7" t="s">
        <v>208</v>
      </c>
      <c r="D7" s="17"/>
      <c r="E7" s="17"/>
      <c r="F7" s="17"/>
      <c r="G7" s="7" t="s">
        <v>203</v>
      </c>
      <c r="H7" s="17"/>
      <c r="I7" s="17"/>
      <c r="J7" s="17"/>
      <c r="K7" s="17"/>
      <c r="L7" s="17"/>
      <c r="M7" s="17"/>
    </row>
    <row r="8" spans="1:13" s="15" customFormat="1" ht="5.0999999999999996" customHeight="1"/>
    <row r="9" spans="1:13" s="15" customFormat="1" ht="11.25" customHeight="1">
      <c r="C9" s="282" t="s">
        <v>209</v>
      </c>
      <c r="D9" s="282"/>
      <c r="E9" s="282"/>
      <c r="F9" s="282"/>
      <c r="G9" s="279" t="s">
        <v>578</v>
      </c>
      <c r="H9" s="279"/>
      <c r="I9" s="279"/>
      <c r="J9" s="279"/>
      <c r="K9" s="279"/>
      <c r="L9" s="279"/>
      <c r="M9" s="279"/>
    </row>
    <row r="10" spans="1:13" s="15" customFormat="1" ht="11.25" customHeight="1">
      <c r="C10" s="282"/>
      <c r="D10" s="282"/>
      <c r="E10" s="282"/>
      <c r="F10" s="282"/>
      <c r="G10" s="279"/>
      <c r="H10" s="279"/>
      <c r="I10" s="279"/>
      <c r="J10" s="279"/>
      <c r="K10" s="279"/>
      <c r="L10" s="279"/>
      <c r="M10" s="279"/>
    </row>
    <row r="11" spans="1:13" s="15" customFormat="1">
      <c r="C11" s="283"/>
      <c r="D11" s="283"/>
      <c r="E11" s="283"/>
      <c r="F11" s="283"/>
      <c r="G11" s="279"/>
      <c r="H11" s="279"/>
      <c r="I11" s="279"/>
      <c r="J11" s="279"/>
      <c r="K11" s="279"/>
      <c r="L11" s="279"/>
      <c r="M11" s="279"/>
    </row>
    <row r="12" spans="1:13" s="15" customFormat="1" ht="5.0999999999999996" customHeight="1">
      <c r="C12" s="283"/>
      <c r="D12" s="283"/>
      <c r="E12" s="283"/>
      <c r="F12" s="283"/>
      <c r="G12" s="183"/>
      <c r="H12" s="183"/>
      <c r="I12" s="183"/>
      <c r="J12" s="183"/>
      <c r="K12" s="183"/>
      <c r="L12" s="183"/>
      <c r="M12" s="183"/>
    </row>
    <row r="13" spans="1:13" s="15" customFormat="1" ht="11.25" customHeight="1">
      <c r="C13" s="282" t="s">
        <v>210</v>
      </c>
      <c r="D13" s="282"/>
      <c r="E13" s="282"/>
      <c r="F13" s="282"/>
      <c r="G13" s="279" t="s">
        <v>211</v>
      </c>
      <c r="H13" s="279"/>
      <c r="I13" s="279"/>
      <c r="J13" s="279"/>
      <c r="K13" s="279"/>
      <c r="L13" s="279"/>
      <c r="M13" s="279"/>
    </row>
    <row r="14" spans="1:13" s="15" customFormat="1" ht="5.0999999999999996" customHeight="1">
      <c r="C14" s="283"/>
      <c r="D14" s="283"/>
      <c r="E14" s="283"/>
      <c r="F14" s="283"/>
      <c r="G14" s="258"/>
      <c r="H14" s="258"/>
      <c r="I14" s="258"/>
      <c r="J14" s="258"/>
      <c r="K14" s="258"/>
      <c r="L14" s="258"/>
      <c r="M14" s="258"/>
    </row>
    <row r="15" spans="1:13" s="15" customFormat="1">
      <c r="C15" s="283"/>
      <c r="D15" s="283"/>
      <c r="E15" s="283"/>
      <c r="F15" s="283"/>
      <c r="G15" s="286" t="s">
        <v>579</v>
      </c>
      <c r="H15" s="286"/>
      <c r="I15" s="286"/>
      <c r="J15" s="286"/>
      <c r="K15" s="286"/>
      <c r="L15" s="286"/>
      <c r="M15" s="286"/>
    </row>
    <row r="16" spans="1:13" s="15" customFormat="1">
      <c r="C16" s="283"/>
      <c r="D16" s="283"/>
      <c r="E16" s="283"/>
      <c r="F16" s="283"/>
      <c r="G16" s="286" t="s">
        <v>519</v>
      </c>
      <c r="H16" s="286"/>
      <c r="I16" s="286"/>
      <c r="J16" s="286"/>
      <c r="K16" s="286"/>
      <c r="L16" s="286"/>
      <c r="M16" s="286"/>
    </row>
    <row r="17" spans="3:13" s="15" customFormat="1">
      <c r="C17" s="283"/>
      <c r="D17" s="283"/>
      <c r="E17" s="283"/>
      <c r="F17" s="283"/>
      <c r="G17" s="286" t="s">
        <v>520</v>
      </c>
      <c r="H17" s="286"/>
      <c r="I17" s="286"/>
      <c r="J17" s="286"/>
      <c r="K17" s="286"/>
      <c r="L17" s="286"/>
      <c r="M17" s="286"/>
    </row>
    <row r="18" spans="3:13" s="15" customFormat="1" ht="5.0999999999999996" customHeight="1">
      <c r="C18" s="283"/>
      <c r="D18" s="283"/>
      <c r="E18" s="283"/>
      <c r="F18" s="283"/>
      <c r="G18" s="183"/>
      <c r="H18" s="183"/>
      <c r="I18" s="183"/>
      <c r="J18" s="183"/>
      <c r="K18" s="183"/>
      <c r="L18" s="183"/>
      <c r="M18" s="183"/>
    </row>
    <row r="19" spans="3:13" s="15" customFormat="1" ht="11.25" customHeight="1">
      <c r="C19" s="282" t="s">
        <v>212</v>
      </c>
      <c r="D19" s="282"/>
      <c r="E19" s="282"/>
      <c r="F19" s="282"/>
      <c r="G19" s="279" t="s">
        <v>518</v>
      </c>
      <c r="H19" s="279"/>
      <c r="I19" s="279"/>
      <c r="J19" s="279"/>
      <c r="K19" s="279"/>
      <c r="L19" s="279"/>
      <c r="M19" s="279"/>
    </row>
    <row r="20" spans="3:13" s="15" customFormat="1" ht="5.0999999999999996" customHeight="1">
      <c r="C20" s="283"/>
      <c r="D20" s="283"/>
      <c r="E20" s="283"/>
      <c r="F20" s="283"/>
      <c r="G20" s="183"/>
      <c r="H20" s="183"/>
      <c r="I20" s="183"/>
      <c r="J20" s="183"/>
      <c r="K20" s="183"/>
      <c r="L20" s="183"/>
      <c r="M20" s="183"/>
    </row>
    <row r="21" spans="3:13" s="15" customFormat="1" ht="11.25" customHeight="1">
      <c r="C21" s="282" t="s">
        <v>213</v>
      </c>
      <c r="D21" s="282"/>
      <c r="E21" s="282"/>
      <c r="F21" s="282"/>
      <c r="G21" s="279" t="s">
        <v>580</v>
      </c>
      <c r="H21" s="279"/>
      <c r="I21" s="279"/>
      <c r="J21" s="279"/>
      <c r="K21" s="279"/>
      <c r="L21" s="279"/>
      <c r="M21" s="279"/>
    </row>
    <row r="22" spans="3:13" s="15" customFormat="1" ht="5.0999999999999996" customHeight="1">
      <c r="C22" s="284"/>
      <c r="D22" s="284"/>
      <c r="E22" s="284"/>
      <c r="F22" s="284"/>
      <c r="G22" s="183"/>
      <c r="H22" s="183"/>
      <c r="I22" s="183"/>
      <c r="J22" s="183"/>
      <c r="K22" s="183"/>
      <c r="L22" s="183"/>
      <c r="M22" s="183"/>
    </row>
    <row r="23" spans="3:13" s="15" customFormat="1" ht="11.25" customHeight="1">
      <c r="C23" s="282" t="s">
        <v>289</v>
      </c>
      <c r="D23" s="282"/>
      <c r="E23" s="282"/>
      <c r="F23" s="282"/>
      <c r="G23" s="279" t="s">
        <v>581</v>
      </c>
      <c r="H23" s="279"/>
      <c r="I23" s="279"/>
      <c r="J23" s="279"/>
      <c r="K23" s="279"/>
      <c r="L23" s="279"/>
      <c r="M23" s="279"/>
    </row>
    <row r="24" spans="3:13" s="15" customFormat="1">
      <c r="C24" s="283"/>
      <c r="D24" s="283"/>
      <c r="E24" s="283"/>
      <c r="F24" s="283"/>
      <c r="G24" s="279"/>
      <c r="H24" s="279"/>
      <c r="I24" s="279"/>
      <c r="J24" s="279"/>
      <c r="K24" s="279"/>
      <c r="L24" s="279"/>
      <c r="M24" s="279"/>
    </row>
    <row r="25" spans="3:13" s="15" customFormat="1" ht="5.0999999999999996" customHeight="1">
      <c r="C25" s="284"/>
      <c r="D25" s="284"/>
      <c r="E25" s="284"/>
      <c r="F25" s="284"/>
      <c r="G25" s="183"/>
      <c r="H25" s="183"/>
      <c r="I25" s="183"/>
      <c r="J25" s="183"/>
      <c r="K25" s="183"/>
      <c r="L25" s="183"/>
      <c r="M25" s="183"/>
    </row>
    <row r="26" spans="3:13" s="15" customFormat="1" ht="11.25" customHeight="1">
      <c r="C26" s="282" t="s">
        <v>214</v>
      </c>
      <c r="D26" s="282"/>
      <c r="E26" s="282"/>
      <c r="F26" s="282"/>
      <c r="G26" s="279" t="s">
        <v>290</v>
      </c>
      <c r="H26" s="279"/>
      <c r="I26" s="279"/>
      <c r="J26" s="279"/>
      <c r="K26" s="279"/>
      <c r="L26" s="279"/>
      <c r="M26" s="279"/>
    </row>
    <row r="27" spans="3:13" s="15" customFormat="1" ht="11.25" customHeight="1">
      <c r="C27" s="282"/>
      <c r="D27" s="282"/>
      <c r="E27" s="282"/>
      <c r="F27" s="282"/>
      <c r="G27" s="279"/>
      <c r="H27" s="279"/>
      <c r="I27" s="279"/>
      <c r="J27" s="279"/>
      <c r="K27" s="279"/>
      <c r="L27" s="279"/>
      <c r="M27" s="279"/>
    </row>
    <row r="28" spans="3:13" s="15" customFormat="1" ht="11.25" customHeight="1">
      <c r="C28" s="282"/>
      <c r="D28" s="282"/>
      <c r="E28" s="282"/>
      <c r="F28" s="282"/>
      <c r="G28" s="279"/>
      <c r="H28" s="279"/>
      <c r="I28" s="279"/>
      <c r="J28" s="279"/>
      <c r="K28" s="279"/>
      <c r="L28" s="279"/>
      <c r="M28" s="279"/>
    </row>
    <row r="29" spans="3:13" s="15" customFormat="1" ht="11.25" customHeight="1">
      <c r="C29" s="285"/>
      <c r="D29" s="285"/>
      <c r="E29" s="285"/>
      <c r="F29" s="285"/>
      <c r="G29" s="279"/>
      <c r="H29" s="279"/>
      <c r="I29" s="279"/>
      <c r="J29" s="279"/>
      <c r="K29" s="279"/>
      <c r="L29" s="279"/>
      <c r="M29" s="279"/>
    </row>
    <row r="30" spans="3:13" s="15" customFormat="1" ht="5.0999999999999996" customHeight="1">
      <c r="C30" s="283"/>
      <c r="D30" s="283"/>
      <c r="E30" s="283"/>
      <c r="F30" s="283"/>
      <c r="G30" s="258"/>
      <c r="H30" s="258"/>
      <c r="I30" s="258"/>
      <c r="J30" s="258"/>
      <c r="K30" s="258"/>
      <c r="L30" s="258"/>
      <c r="M30" s="258"/>
    </row>
    <row r="31" spans="3:13" s="15" customFormat="1">
      <c r="C31" s="282" t="s">
        <v>215</v>
      </c>
      <c r="D31" s="282"/>
      <c r="E31" s="282"/>
      <c r="F31" s="282"/>
      <c r="G31" s="280" t="s">
        <v>216</v>
      </c>
      <c r="H31" s="280"/>
      <c r="I31" s="281" t="s">
        <v>46</v>
      </c>
      <c r="J31" s="281"/>
      <c r="K31" s="281"/>
      <c r="L31" s="281"/>
      <c r="M31" s="281"/>
    </row>
    <row r="32" spans="3:13" s="15" customFormat="1">
      <c r="C32" s="283"/>
      <c r="D32" s="283"/>
      <c r="E32" s="283"/>
      <c r="F32" s="283"/>
      <c r="G32" s="280" t="s">
        <v>217</v>
      </c>
      <c r="H32" s="280"/>
      <c r="I32" s="281" t="s">
        <v>570</v>
      </c>
      <c r="J32" s="281"/>
      <c r="K32" s="281"/>
      <c r="L32" s="281"/>
      <c r="M32" s="281"/>
    </row>
    <row r="33" spans="3:13" s="15" customFormat="1" ht="5.0999999999999996" customHeight="1">
      <c r="C33" s="283"/>
      <c r="D33" s="283"/>
      <c r="E33" s="283"/>
      <c r="F33" s="283"/>
      <c r="G33" s="258"/>
      <c r="H33" s="258"/>
      <c r="I33" s="258"/>
      <c r="J33" s="258"/>
      <c r="K33" s="258"/>
      <c r="L33" s="258"/>
      <c r="M33" s="258"/>
    </row>
    <row r="34" spans="3:13" s="15" customFormat="1">
      <c r="C34" s="283"/>
      <c r="D34" s="283"/>
      <c r="E34" s="283"/>
      <c r="F34" s="283"/>
      <c r="G34" s="280" t="s">
        <v>291</v>
      </c>
      <c r="H34" s="280"/>
      <c r="I34" s="280"/>
      <c r="J34" s="280"/>
      <c r="K34" s="280"/>
      <c r="L34" s="280"/>
      <c r="M34" s="280"/>
    </row>
    <row r="35" spans="3:13" s="15" customFormat="1" ht="5.0999999999999996" customHeight="1">
      <c r="C35" s="283"/>
      <c r="D35" s="283"/>
      <c r="E35" s="283"/>
      <c r="F35" s="283"/>
      <c r="G35" s="258"/>
      <c r="H35" s="258"/>
      <c r="I35" s="258"/>
      <c r="J35" s="258"/>
      <c r="K35" s="258"/>
      <c r="L35" s="258"/>
      <c r="M35" s="258"/>
    </row>
    <row r="36" spans="3:13" s="15" customFormat="1">
      <c r="C36" s="283"/>
      <c r="D36" s="283"/>
      <c r="E36" s="283"/>
      <c r="F36" s="283"/>
      <c r="G36" s="280" t="s">
        <v>218</v>
      </c>
      <c r="H36" s="280"/>
      <c r="I36" s="281" t="s">
        <v>572</v>
      </c>
      <c r="J36" s="281"/>
      <c r="K36" s="281"/>
      <c r="L36" s="281"/>
      <c r="M36" s="281"/>
    </row>
    <row r="37" spans="3:13" s="15" customFormat="1" ht="5.0999999999999996" customHeight="1">
      <c r="C37" s="17"/>
      <c r="D37" s="17"/>
      <c r="E37" s="17"/>
      <c r="F37" s="17"/>
      <c r="G37" s="17"/>
      <c r="H37" s="17"/>
      <c r="I37" s="17"/>
      <c r="J37" s="17"/>
      <c r="K37" s="17"/>
      <c r="L37" s="17"/>
      <c r="M37" s="17"/>
    </row>
    <row r="38" spans="3:13" s="15" customFormat="1"/>
    <row r="39" spans="3:13" s="15" customFormat="1"/>
    <row r="40" spans="3:13" s="15" customFormat="1"/>
    <row r="41" spans="3:13" s="15" customFormat="1"/>
    <row r="42" spans="3:13" s="15" customFormat="1"/>
    <row r="43" spans="3:13" s="15" customFormat="1"/>
    <row r="44" spans="3:13" s="15" customFormat="1"/>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sheetData>
  <mergeCells count="45">
    <mergeCell ref="G32:H32"/>
    <mergeCell ref="I32:M32"/>
    <mergeCell ref="G34:M34"/>
    <mergeCell ref="G36:H36"/>
    <mergeCell ref="I36:M36"/>
    <mergeCell ref="C32:F32"/>
    <mergeCell ref="C33:F33"/>
    <mergeCell ref="C34:F34"/>
    <mergeCell ref="C35:F35"/>
    <mergeCell ref="C36:F36"/>
    <mergeCell ref="C15:F15"/>
    <mergeCell ref="C16:F16"/>
    <mergeCell ref="C17:F17"/>
    <mergeCell ref="C18:F18"/>
    <mergeCell ref="C22:F22"/>
    <mergeCell ref="G15:M15"/>
    <mergeCell ref="G16:M16"/>
    <mergeCell ref="G17:M17"/>
    <mergeCell ref="G21:M21"/>
    <mergeCell ref="B3:F3"/>
    <mergeCell ref="G9:M11"/>
    <mergeCell ref="G13:M13"/>
    <mergeCell ref="C20:F20"/>
    <mergeCell ref="C21:F21"/>
    <mergeCell ref="G19:M19"/>
    <mergeCell ref="C9:F9"/>
    <mergeCell ref="C10:F10"/>
    <mergeCell ref="C11:F11"/>
    <mergeCell ref="C12:F12"/>
    <mergeCell ref="C13:F13"/>
    <mergeCell ref="C14:F14"/>
    <mergeCell ref="G23:M24"/>
    <mergeCell ref="G26:M29"/>
    <mergeCell ref="G31:H31"/>
    <mergeCell ref="I31:M31"/>
    <mergeCell ref="C19:F19"/>
    <mergeCell ref="C23:F23"/>
    <mergeCell ref="C24:F24"/>
    <mergeCell ref="C25:F25"/>
    <mergeCell ref="C26:F26"/>
    <mergeCell ref="C27:F27"/>
    <mergeCell ref="C28:F28"/>
    <mergeCell ref="C29:F29"/>
    <mergeCell ref="C30:F30"/>
    <mergeCell ref="C31:F31"/>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7" t="s">
        <v>197</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461</v>
      </c>
    </row>
    <row r="18" spans="3:3">
      <c r="C18" s="26" t="s">
        <v>287</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300</v>
      </c>
    </row>
    <row r="2" spans="1:14" ht="15">
      <c r="B2" s="2" t="str">
        <f ca="1">Model_Name</f>
        <v>SMA 7. Outputs &amp; Presentations - Practical Exercise (Solution)</v>
      </c>
    </row>
    <row r="3" spans="1:14">
      <c r="B3" s="270" t="s">
        <v>48</v>
      </c>
      <c r="C3" s="270"/>
      <c r="D3" s="270"/>
      <c r="E3" s="270"/>
      <c r="F3" s="270"/>
    </row>
    <row r="4" spans="1:14" ht="12.75">
      <c r="A4" s="10" t="s">
        <v>51</v>
      </c>
      <c r="B4" s="11" t="s">
        <v>53</v>
      </c>
      <c r="C4" s="12" t="s">
        <v>102</v>
      </c>
      <c r="D4" s="263" t="s">
        <v>205</v>
      </c>
      <c r="E4" s="263" t="s">
        <v>206</v>
      </c>
      <c r="F4" s="13" t="s">
        <v>207</v>
      </c>
    </row>
    <row r="5" spans="1:14" s="15" customFormat="1" ht="12.75">
      <c r="B5" s="11"/>
      <c r="C5" s="12"/>
      <c r="D5" s="261"/>
      <c r="E5" s="261"/>
      <c r="F5" s="13"/>
    </row>
    <row r="6" spans="1:14" s="15" customFormat="1" ht="12.75">
      <c r="A6" s="10"/>
      <c r="B6" s="11"/>
      <c r="C6" s="12"/>
      <c r="D6" s="261"/>
      <c r="E6" s="261"/>
      <c r="F6" s="13"/>
    </row>
    <row r="7" spans="1:14" s="15" customFormat="1" ht="12.75">
      <c r="A7" s="10"/>
      <c r="B7" s="32" t="s">
        <v>105</v>
      </c>
      <c r="C7" s="12"/>
      <c r="D7" s="261"/>
      <c r="E7" s="261"/>
      <c r="F7" s="13"/>
    </row>
    <row r="8" spans="1:14" s="15" customFormat="1" ht="12.75">
      <c r="A8" s="10"/>
      <c r="B8" s="11"/>
      <c r="C8" s="12"/>
      <c r="D8" s="261"/>
      <c r="E8" s="261"/>
      <c r="F8" s="13"/>
    </row>
    <row r="9" spans="1:14" s="15" customFormat="1" ht="12.75">
      <c r="A9" s="10"/>
      <c r="B9" s="11"/>
      <c r="C9" s="264"/>
      <c r="D9" s="34" t="s">
        <v>106</v>
      </c>
      <c r="E9" s="265"/>
      <c r="F9" s="266"/>
      <c r="G9" s="17"/>
      <c r="H9" s="34" t="s">
        <v>107</v>
      </c>
      <c r="I9" s="17"/>
      <c r="J9" s="17"/>
      <c r="K9" s="17"/>
      <c r="L9" s="17"/>
      <c r="M9" s="289" t="s">
        <v>108</v>
      </c>
      <c r="N9" s="289"/>
    </row>
    <row r="10" spans="1:14" s="15" customFormat="1" ht="5.0999999999999996" customHeight="1">
      <c r="A10" s="10"/>
      <c r="B10" s="11"/>
      <c r="C10" s="12"/>
      <c r="D10" s="261"/>
      <c r="E10" s="261"/>
      <c r="F10" s="13"/>
    </row>
    <row r="11" spans="1:14" s="15" customFormat="1" ht="12.75">
      <c r="A11" s="10"/>
      <c r="B11" s="11"/>
      <c r="C11" s="12"/>
      <c r="D11" s="25" t="s">
        <v>301</v>
      </c>
      <c r="E11" s="261"/>
      <c r="F11" s="13"/>
    </row>
    <row r="12" spans="1:14" s="15" customFormat="1" ht="5.0999999999999996" customHeight="1">
      <c r="A12" s="10"/>
      <c r="B12" s="11"/>
      <c r="C12" s="12"/>
      <c r="D12" s="261"/>
      <c r="E12" s="261"/>
      <c r="F12" s="13"/>
    </row>
    <row r="13" spans="1:14" s="15" customFormat="1" ht="12.75">
      <c r="A13" s="10"/>
      <c r="B13" s="11"/>
      <c r="C13" s="12"/>
      <c r="D13" s="291" t="s">
        <v>584</v>
      </c>
      <c r="E13" s="291"/>
      <c r="F13" s="291"/>
      <c r="G13" s="291"/>
      <c r="H13" s="291" t="s">
        <v>585</v>
      </c>
      <c r="I13" s="291"/>
      <c r="J13" s="291"/>
      <c r="K13" s="291"/>
      <c r="L13" s="291"/>
      <c r="M13" s="294" t="s">
        <v>584</v>
      </c>
      <c r="N13" s="294"/>
    </row>
    <row r="14" spans="1:14" s="15" customFormat="1" ht="5.0999999999999996" customHeight="1">
      <c r="A14" s="10"/>
      <c r="B14" s="11"/>
      <c r="C14" s="12"/>
      <c r="D14" s="261"/>
      <c r="E14" s="261"/>
      <c r="F14" s="13"/>
    </row>
    <row r="15" spans="1:14" s="15" customFormat="1" ht="12.75">
      <c r="A15" s="10"/>
      <c r="B15" s="11"/>
      <c r="C15" s="12"/>
      <c r="D15" s="291" t="s">
        <v>586</v>
      </c>
      <c r="E15" s="291"/>
      <c r="F15" s="291"/>
      <c r="G15" s="291"/>
      <c r="H15" s="291" t="s">
        <v>587</v>
      </c>
      <c r="I15" s="291"/>
      <c r="J15" s="291"/>
      <c r="K15" s="291"/>
      <c r="L15" s="291"/>
      <c r="M15" s="292" t="s">
        <v>586</v>
      </c>
      <c r="N15" s="292"/>
    </row>
    <row r="16" spans="1:14" s="15" customFormat="1" ht="5.0999999999999996" customHeight="1">
      <c r="A16" s="10"/>
      <c r="B16" s="11"/>
      <c r="C16" s="12"/>
      <c r="D16" s="261"/>
      <c r="E16" s="261"/>
      <c r="F16" s="13"/>
    </row>
    <row r="17" spans="1:14" s="15" customFormat="1" ht="12.75">
      <c r="A17" s="10"/>
      <c r="B17" s="11"/>
      <c r="C17" s="12"/>
      <c r="D17" s="291" t="s">
        <v>588</v>
      </c>
      <c r="E17" s="291"/>
      <c r="F17" s="291"/>
      <c r="G17" s="291"/>
      <c r="H17" s="291" t="s">
        <v>589</v>
      </c>
      <c r="I17" s="291"/>
      <c r="J17" s="291"/>
      <c r="K17" s="291"/>
      <c r="L17" s="291"/>
      <c r="M17" s="293" t="s">
        <v>588</v>
      </c>
      <c r="N17" s="293"/>
    </row>
    <row r="18" spans="1:14" s="15" customFormat="1" ht="12.75">
      <c r="A18" s="10"/>
      <c r="B18" s="11"/>
      <c r="C18" s="12"/>
      <c r="D18" s="291"/>
      <c r="E18" s="291"/>
      <c r="F18" s="291"/>
      <c r="G18" s="291"/>
      <c r="H18" s="291"/>
      <c r="I18" s="291"/>
      <c r="J18" s="291"/>
      <c r="K18" s="291"/>
      <c r="L18" s="291"/>
    </row>
    <row r="19" spans="1:14" s="15" customFormat="1" ht="5.0999999999999996" customHeight="1">
      <c r="A19" s="10"/>
      <c r="B19" s="11"/>
      <c r="C19" s="12"/>
      <c r="D19" s="261"/>
      <c r="E19" s="261"/>
      <c r="F19" s="13"/>
    </row>
    <row r="20" spans="1:14" s="15" customFormat="1" ht="12.75">
      <c r="A20" s="10"/>
      <c r="B20" s="11"/>
      <c r="C20" s="12"/>
      <c r="D20" s="291" t="s">
        <v>227</v>
      </c>
      <c r="E20" s="291"/>
      <c r="F20" s="291"/>
      <c r="G20" s="291"/>
      <c r="H20" s="291" t="s">
        <v>590</v>
      </c>
      <c r="I20" s="291"/>
      <c r="J20" s="291"/>
      <c r="K20" s="291"/>
      <c r="L20" s="291"/>
      <c r="M20" s="299" t="s">
        <v>227</v>
      </c>
      <c r="N20" s="299"/>
    </row>
    <row r="21" spans="1:14" s="15" customFormat="1" ht="5.0999999999999996" customHeight="1">
      <c r="A21" s="10"/>
      <c r="B21" s="11"/>
      <c r="C21" s="12"/>
      <c r="D21" s="261"/>
      <c r="E21" s="261"/>
      <c r="F21" s="13"/>
    </row>
    <row r="22" spans="1:14" s="15" customFormat="1" ht="5.0999999999999996" customHeight="1">
      <c r="A22" s="10"/>
      <c r="B22" s="11"/>
      <c r="C22" s="12"/>
      <c r="D22" s="261"/>
      <c r="E22" s="261"/>
      <c r="F22" s="13"/>
    </row>
    <row r="23" spans="1:14" s="15" customFormat="1" ht="12.75">
      <c r="A23" s="10"/>
      <c r="B23" s="11"/>
      <c r="C23" s="12"/>
      <c r="D23" s="291" t="s">
        <v>109</v>
      </c>
      <c r="E23" s="291"/>
      <c r="F23" s="291"/>
      <c r="G23" s="291"/>
      <c r="H23" s="291" t="s">
        <v>591</v>
      </c>
      <c r="I23" s="291"/>
      <c r="J23" s="291"/>
      <c r="K23" s="291"/>
      <c r="L23" s="291"/>
      <c r="M23" s="300" t="s">
        <v>109</v>
      </c>
      <c r="N23" s="300"/>
    </row>
    <row r="24" spans="1:14" s="15" customFormat="1" ht="12.75">
      <c r="A24" s="10"/>
      <c r="B24" s="11"/>
      <c r="C24" s="12"/>
      <c r="D24" s="291"/>
      <c r="E24" s="291"/>
      <c r="F24" s="291"/>
      <c r="G24" s="291"/>
      <c r="H24" s="291"/>
      <c r="I24" s="291"/>
      <c r="J24" s="291"/>
      <c r="K24" s="291"/>
      <c r="L24" s="291"/>
    </row>
    <row r="25" spans="1:14" s="15" customFormat="1" ht="5.0999999999999996" customHeight="1">
      <c r="A25" s="10"/>
      <c r="B25" s="11"/>
      <c r="C25" s="12"/>
      <c r="D25" s="261"/>
      <c r="E25" s="261"/>
      <c r="F25" s="13"/>
    </row>
    <row r="26" spans="1:14" s="15" customFormat="1" ht="12.75">
      <c r="A26" s="10"/>
      <c r="B26" s="11"/>
      <c r="C26" s="12"/>
      <c r="D26" s="25" t="s">
        <v>302</v>
      </c>
      <c r="E26" s="261"/>
      <c r="F26" s="13"/>
    </row>
    <row r="27" spans="1:14" s="15" customFormat="1" ht="5.0999999999999996" customHeight="1">
      <c r="A27" s="10"/>
      <c r="B27" s="11"/>
      <c r="C27" s="12"/>
      <c r="D27" s="261"/>
      <c r="E27" s="261"/>
      <c r="F27" s="13"/>
    </row>
    <row r="28" spans="1:14" s="15" customFormat="1" ht="12.75">
      <c r="A28" s="10"/>
      <c r="B28" s="11"/>
      <c r="C28" s="12"/>
      <c r="D28" s="291" t="s">
        <v>592</v>
      </c>
      <c r="E28" s="291"/>
      <c r="F28" s="291"/>
      <c r="G28" s="291"/>
      <c r="H28" s="291" t="s">
        <v>593</v>
      </c>
      <c r="I28" s="291"/>
      <c r="J28" s="291"/>
      <c r="K28" s="291"/>
      <c r="L28" s="291"/>
      <c r="M28" s="295"/>
      <c r="N28" s="296"/>
    </row>
    <row r="29" spans="1:14" s="15" customFormat="1" ht="5.0999999999999996" customHeight="1">
      <c r="A29" s="10"/>
      <c r="B29" s="11"/>
      <c r="C29" s="12"/>
      <c r="D29" s="261"/>
      <c r="E29" s="261"/>
      <c r="F29" s="13"/>
    </row>
    <row r="30" spans="1:14" s="15" customFormat="1" ht="12.75">
      <c r="A30" s="10"/>
      <c r="B30" s="11"/>
      <c r="C30" s="12"/>
      <c r="D30" s="291" t="s">
        <v>594</v>
      </c>
      <c r="E30" s="291"/>
      <c r="F30" s="291"/>
      <c r="G30" s="291"/>
      <c r="H30" s="291" t="s">
        <v>595</v>
      </c>
      <c r="I30" s="291"/>
      <c r="J30" s="291"/>
      <c r="K30" s="291"/>
      <c r="L30" s="291"/>
      <c r="M30" s="297"/>
      <c r="N30" s="298"/>
    </row>
    <row r="31" spans="1:14" s="15" customFormat="1" ht="12.75">
      <c r="A31" s="10"/>
      <c r="B31" s="11"/>
      <c r="C31" s="12"/>
      <c r="D31" s="291"/>
      <c r="E31" s="291"/>
      <c r="F31" s="291"/>
      <c r="G31" s="291"/>
      <c r="H31" s="291"/>
      <c r="I31" s="291"/>
      <c r="J31" s="291"/>
      <c r="K31" s="291"/>
      <c r="L31" s="291"/>
    </row>
    <row r="32" spans="1:14" s="15" customFormat="1" ht="5.0999999999999996" customHeight="1">
      <c r="A32" s="10"/>
      <c r="B32" s="11"/>
      <c r="C32" s="12"/>
      <c r="D32" s="261"/>
      <c r="E32" s="261"/>
      <c r="F32" s="13"/>
    </row>
    <row r="33" spans="1:14" s="15" customFormat="1" ht="12.75">
      <c r="A33" s="10"/>
      <c r="B33" s="11"/>
      <c r="C33" s="12"/>
      <c r="D33" s="291" t="s">
        <v>596</v>
      </c>
      <c r="E33" s="291"/>
      <c r="F33" s="291"/>
      <c r="G33" s="291"/>
      <c r="H33" s="291" t="s">
        <v>597</v>
      </c>
      <c r="I33" s="291"/>
      <c r="J33" s="291"/>
      <c r="K33" s="291"/>
      <c r="L33" s="291"/>
      <c r="M33" s="301"/>
      <c r="N33" s="302"/>
    </row>
    <row r="34" spans="1:14" s="15" customFormat="1" ht="12.75">
      <c r="A34" s="10"/>
      <c r="B34" s="11"/>
      <c r="C34" s="12"/>
      <c r="D34" s="291"/>
      <c r="E34" s="291"/>
      <c r="F34" s="291"/>
      <c r="G34" s="291"/>
      <c r="H34" s="291"/>
      <c r="I34" s="291"/>
      <c r="J34" s="291"/>
      <c r="K34" s="291"/>
      <c r="L34" s="291"/>
    </row>
    <row r="35" spans="1:14" s="15" customFormat="1" ht="5.0999999999999996" customHeight="1">
      <c r="A35" s="10"/>
      <c r="B35" s="11"/>
      <c r="C35" s="264"/>
      <c r="D35" s="265"/>
      <c r="E35" s="265"/>
      <c r="F35" s="266"/>
      <c r="G35" s="17"/>
      <c r="H35" s="17"/>
      <c r="I35" s="17"/>
      <c r="J35" s="17"/>
      <c r="K35" s="17"/>
      <c r="L35" s="17"/>
      <c r="M35" s="17"/>
      <c r="N35" s="17"/>
    </row>
    <row r="36" spans="1:14" s="15" customFormat="1" ht="12.75">
      <c r="A36" s="10"/>
      <c r="B36" s="11"/>
      <c r="C36" s="12"/>
      <c r="D36" s="261"/>
      <c r="E36" s="261"/>
      <c r="F36" s="13"/>
    </row>
    <row r="37" spans="1:14" s="15" customFormat="1" ht="12.75">
      <c r="A37" s="10"/>
      <c r="B37" s="11"/>
      <c r="C37" s="12"/>
      <c r="D37" s="261"/>
      <c r="E37" s="261"/>
      <c r="F37" s="13"/>
    </row>
    <row r="38" spans="1:14" s="15" customFormat="1" ht="12.75">
      <c r="A38" s="10"/>
      <c r="B38" s="11"/>
      <c r="C38" s="264"/>
      <c r="D38" s="34" t="s">
        <v>110</v>
      </c>
      <c r="E38" s="265"/>
      <c r="F38" s="266"/>
      <c r="G38" s="17"/>
      <c r="H38" s="34" t="s">
        <v>111</v>
      </c>
      <c r="I38" s="17"/>
      <c r="J38" s="17"/>
      <c r="K38" s="17"/>
      <c r="L38" s="17"/>
      <c r="M38" s="289" t="s">
        <v>108</v>
      </c>
      <c r="N38" s="289"/>
    </row>
    <row r="39" spans="1:14" s="15" customFormat="1" ht="5.0999999999999996" customHeight="1">
      <c r="A39" s="10"/>
      <c r="B39" s="11"/>
      <c r="C39" s="12"/>
      <c r="D39" s="261"/>
      <c r="E39" s="261"/>
      <c r="F39" s="13"/>
    </row>
    <row r="40" spans="1:14" s="15" customFormat="1" ht="12.75">
      <c r="A40" s="10"/>
      <c r="B40" s="11"/>
      <c r="C40" s="12"/>
      <c r="D40" s="291" t="s">
        <v>112</v>
      </c>
      <c r="E40" s="291"/>
      <c r="F40" s="291"/>
      <c r="G40" s="291"/>
      <c r="H40" s="291" t="s">
        <v>113</v>
      </c>
      <c r="I40" s="291"/>
      <c r="J40" s="291"/>
      <c r="K40" s="291"/>
      <c r="L40" s="291"/>
      <c r="M40" s="300" t="s">
        <v>303</v>
      </c>
      <c r="N40" s="300"/>
    </row>
    <row r="41" spans="1:14" s="15" customFormat="1" ht="5.0999999999999996" customHeight="1">
      <c r="A41" s="10"/>
      <c r="B41" s="11"/>
      <c r="C41" s="12"/>
      <c r="D41" s="261"/>
      <c r="E41" s="261"/>
      <c r="F41" s="13"/>
    </row>
    <row r="42" spans="1:14" s="15" customFormat="1" ht="12.75">
      <c r="A42" s="10"/>
      <c r="B42" s="11"/>
      <c r="C42" s="12"/>
      <c r="D42" s="291" t="s">
        <v>114</v>
      </c>
      <c r="E42" s="291"/>
      <c r="F42" s="291"/>
      <c r="G42" s="291"/>
      <c r="H42" s="291" t="s">
        <v>115</v>
      </c>
      <c r="I42" s="291"/>
      <c r="J42" s="291"/>
      <c r="K42" s="291"/>
      <c r="L42" s="291"/>
      <c r="M42" s="300" t="s">
        <v>304</v>
      </c>
      <c r="N42" s="300"/>
    </row>
    <row r="43" spans="1:14" s="15" customFormat="1" ht="5.0999999999999996" customHeight="1">
      <c r="A43" s="10"/>
      <c r="B43" s="11"/>
      <c r="C43" s="12"/>
      <c r="D43" s="261"/>
      <c r="E43" s="261"/>
      <c r="F43" s="13"/>
    </row>
    <row r="44" spans="1:14" s="15" customFormat="1" ht="12.75">
      <c r="A44" s="10"/>
      <c r="B44" s="11"/>
      <c r="C44" s="12"/>
      <c r="D44" s="291" t="s">
        <v>116</v>
      </c>
      <c r="E44" s="291"/>
      <c r="F44" s="291"/>
      <c r="G44" s="291"/>
      <c r="H44" s="291" t="s">
        <v>117</v>
      </c>
      <c r="I44" s="291"/>
      <c r="J44" s="291"/>
      <c r="K44" s="291"/>
      <c r="L44" s="291"/>
      <c r="M44" s="300" t="s">
        <v>118</v>
      </c>
      <c r="N44" s="300"/>
    </row>
    <row r="45" spans="1:14" s="15" customFormat="1" ht="5.0999999999999996" customHeight="1">
      <c r="A45" s="10"/>
      <c r="B45" s="11"/>
      <c r="C45" s="12"/>
      <c r="D45" s="261"/>
      <c r="E45" s="261"/>
      <c r="F45" s="13"/>
    </row>
    <row r="46" spans="1:14" s="15" customFormat="1" ht="12.75">
      <c r="A46" s="10"/>
      <c r="B46" s="11"/>
      <c r="C46" s="12"/>
      <c r="D46" s="291" t="s">
        <v>119</v>
      </c>
      <c r="E46" s="291"/>
      <c r="F46" s="291"/>
      <c r="G46" s="291"/>
      <c r="H46" s="291" t="s">
        <v>120</v>
      </c>
      <c r="I46" s="291"/>
      <c r="J46" s="291"/>
      <c r="K46" s="291"/>
      <c r="L46" s="291"/>
      <c r="M46" s="303" t="s">
        <v>51</v>
      </c>
      <c r="N46" s="303"/>
    </row>
    <row r="47" spans="1:14" s="15" customFormat="1" ht="5.0999999999999996" customHeight="1">
      <c r="A47" s="10"/>
      <c r="B47" s="11"/>
      <c r="C47" s="12"/>
      <c r="D47" s="261"/>
      <c r="E47" s="261"/>
      <c r="F47" s="13"/>
    </row>
    <row r="48" spans="1:14" s="15" customFormat="1" ht="12.75">
      <c r="A48" s="10"/>
      <c r="B48" s="11"/>
      <c r="C48" s="12"/>
      <c r="D48" s="291" t="s">
        <v>121</v>
      </c>
      <c r="E48" s="291"/>
      <c r="F48" s="291"/>
      <c r="G48" s="291"/>
      <c r="H48" s="291" t="s">
        <v>122</v>
      </c>
      <c r="I48" s="291"/>
      <c r="J48" s="291"/>
      <c r="K48" s="291"/>
      <c r="L48" s="291"/>
      <c r="M48" s="303" t="s">
        <v>53</v>
      </c>
      <c r="N48" s="303"/>
    </row>
    <row r="49" spans="1:14" s="15" customFormat="1" ht="5.0999999999999996" customHeight="1">
      <c r="A49" s="10"/>
      <c r="B49" s="11"/>
      <c r="C49" s="12"/>
      <c r="D49" s="261"/>
      <c r="E49" s="261"/>
      <c r="F49" s="13"/>
    </row>
    <row r="50" spans="1:14" s="15" customFormat="1" ht="12.75">
      <c r="A50" s="10"/>
      <c r="B50" s="11"/>
      <c r="C50" s="12"/>
      <c r="D50" s="291" t="s">
        <v>123</v>
      </c>
      <c r="E50" s="291"/>
      <c r="F50" s="291"/>
      <c r="G50" s="291"/>
      <c r="H50" s="291" t="s">
        <v>305</v>
      </c>
      <c r="I50" s="291"/>
      <c r="J50" s="291"/>
      <c r="K50" s="291"/>
      <c r="L50" s="291"/>
      <c r="M50" s="303" t="s">
        <v>102</v>
      </c>
      <c r="N50" s="303"/>
    </row>
    <row r="51" spans="1:14" s="15" customFormat="1" ht="5.0999999999999996" customHeight="1">
      <c r="A51" s="10"/>
      <c r="B51" s="11"/>
      <c r="C51" s="264"/>
      <c r="D51" s="265"/>
      <c r="E51" s="265"/>
      <c r="F51" s="266"/>
      <c r="G51" s="17"/>
      <c r="H51" s="17"/>
      <c r="I51" s="17"/>
      <c r="J51" s="17"/>
      <c r="K51" s="17"/>
      <c r="L51" s="17"/>
      <c r="M51" s="17"/>
      <c r="N51" s="17"/>
    </row>
    <row r="52" spans="1:14" s="15" customFormat="1" ht="12.75">
      <c r="A52" s="10"/>
      <c r="B52" s="11"/>
      <c r="C52" s="12"/>
      <c r="D52" s="261"/>
      <c r="E52" s="261"/>
      <c r="F52" s="13"/>
    </row>
    <row r="53" spans="1:14" s="15" customFormat="1" ht="12.75">
      <c r="A53" s="10"/>
      <c r="B53" s="11"/>
      <c r="C53" s="12"/>
      <c r="D53" s="261"/>
      <c r="E53" s="261"/>
      <c r="F53" s="13"/>
    </row>
    <row r="54" spans="1:14" s="15" customFormat="1" ht="12.75">
      <c r="A54" s="10"/>
      <c r="B54" s="32" t="s">
        <v>124</v>
      </c>
      <c r="C54" s="12"/>
      <c r="D54" s="261"/>
      <c r="E54" s="261"/>
      <c r="F54" s="13"/>
    </row>
    <row r="55" spans="1:14" s="15" customFormat="1" ht="12.75">
      <c r="A55" s="10"/>
      <c r="B55" s="11"/>
      <c r="C55" s="12"/>
      <c r="D55" s="261"/>
      <c r="E55" s="261"/>
      <c r="F55" s="13"/>
    </row>
    <row r="56" spans="1:14" s="15" customFormat="1" ht="12.75">
      <c r="A56" s="10"/>
      <c r="B56" s="11"/>
      <c r="C56" s="264"/>
      <c r="D56" s="34" t="s">
        <v>306</v>
      </c>
      <c r="E56" s="265"/>
      <c r="F56" s="266"/>
      <c r="G56" s="17"/>
      <c r="H56" s="34" t="s">
        <v>125</v>
      </c>
      <c r="I56" s="17"/>
      <c r="J56" s="17"/>
      <c r="K56" s="17"/>
      <c r="L56" s="17"/>
      <c r="M56" s="289" t="s">
        <v>307</v>
      </c>
      <c r="N56" s="289"/>
    </row>
    <row r="57" spans="1:14" s="15" customFormat="1" ht="5.0999999999999996" customHeight="1">
      <c r="A57" s="10"/>
      <c r="B57" s="11"/>
      <c r="C57" s="12"/>
      <c r="D57" s="261"/>
      <c r="E57" s="261"/>
      <c r="F57" s="13"/>
    </row>
    <row r="58" spans="1:14" s="15" customFormat="1" ht="12.75">
      <c r="A58" s="10"/>
      <c r="B58" s="11"/>
      <c r="C58" s="12"/>
      <c r="D58" s="291" t="s">
        <v>308</v>
      </c>
      <c r="E58" s="291"/>
      <c r="F58" s="291"/>
      <c r="G58" s="291"/>
      <c r="H58" s="291" t="s">
        <v>126</v>
      </c>
      <c r="I58" s="291"/>
      <c r="J58" s="291"/>
      <c r="K58" s="291"/>
      <c r="L58" s="291"/>
      <c r="M58" s="290" t="s">
        <v>309</v>
      </c>
      <c r="N58" s="290"/>
    </row>
    <row r="59" spans="1:14" s="15" customFormat="1" ht="5.0999999999999996" customHeight="1">
      <c r="A59" s="10"/>
      <c r="B59" s="11"/>
      <c r="C59" s="12"/>
      <c r="D59" s="261"/>
      <c r="E59" s="261"/>
      <c r="F59" s="13"/>
    </row>
    <row r="60" spans="1:14" s="15" customFormat="1" ht="12.75">
      <c r="A60" s="10"/>
      <c r="B60" s="11"/>
      <c r="C60" s="12"/>
      <c r="D60" s="291" t="s">
        <v>131</v>
      </c>
      <c r="E60" s="291"/>
      <c r="F60" s="291"/>
      <c r="G60" s="291"/>
      <c r="H60" s="291" t="s">
        <v>132</v>
      </c>
      <c r="I60" s="291"/>
      <c r="J60" s="291"/>
      <c r="K60" s="291"/>
      <c r="L60" s="291"/>
      <c r="M60" s="290" t="s">
        <v>133</v>
      </c>
      <c r="N60" s="290"/>
    </row>
    <row r="61" spans="1:14" s="15" customFormat="1" ht="5.0999999999999996" customHeight="1">
      <c r="A61" s="10"/>
      <c r="B61" s="11"/>
      <c r="C61" s="267"/>
      <c r="D61" s="268"/>
      <c r="E61" s="268"/>
      <c r="F61" s="269"/>
      <c r="G61" s="19"/>
      <c r="H61" s="19"/>
      <c r="I61" s="19"/>
      <c r="J61" s="19"/>
      <c r="K61" s="19"/>
      <c r="L61" s="19"/>
      <c r="M61" s="19"/>
      <c r="N61" s="19"/>
    </row>
    <row r="62" spans="1:14" s="15" customFormat="1" ht="5.0999999999999996" customHeight="1">
      <c r="A62" s="10"/>
      <c r="B62" s="11"/>
      <c r="C62" s="12"/>
      <c r="D62" s="261"/>
      <c r="E62" s="261"/>
      <c r="F62" s="13"/>
    </row>
    <row r="63" spans="1:14" s="15" customFormat="1" ht="12.75">
      <c r="A63" s="10"/>
      <c r="B63" s="11"/>
      <c r="C63" s="12"/>
      <c r="D63" s="291" t="s">
        <v>127</v>
      </c>
      <c r="E63" s="291"/>
      <c r="F63" s="291"/>
      <c r="G63" s="291"/>
      <c r="H63" s="291" t="s">
        <v>128</v>
      </c>
      <c r="I63" s="291"/>
      <c r="J63" s="291"/>
      <c r="K63" s="291"/>
      <c r="L63" s="291"/>
      <c r="M63" s="290" t="s">
        <v>103</v>
      </c>
      <c r="N63" s="290"/>
    </row>
    <row r="64" spans="1:14" s="15" customFormat="1" ht="5.0999999999999996" customHeight="1">
      <c r="A64" s="10"/>
      <c r="B64" s="11"/>
      <c r="C64" s="12"/>
      <c r="D64" s="261"/>
      <c r="E64" s="261"/>
      <c r="F64" s="13"/>
    </row>
    <row r="65" spans="1:14" s="15" customFormat="1" ht="12.75">
      <c r="A65" s="10"/>
      <c r="B65" s="11"/>
      <c r="C65" s="12"/>
      <c r="D65" s="291" t="s">
        <v>129</v>
      </c>
      <c r="E65" s="291"/>
      <c r="F65" s="291"/>
      <c r="G65" s="291"/>
      <c r="H65" s="291" t="s">
        <v>130</v>
      </c>
      <c r="I65" s="291"/>
      <c r="J65" s="291"/>
      <c r="K65" s="291"/>
      <c r="L65" s="291"/>
      <c r="M65" s="290" t="s">
        <v>104</v>
      </c>
      <c r="N65" s="290"/>
    </row>
    <row r="66" spans="1:14" s="15" customFormat="1" ht="5.0999999999999996" customHeight="1">
      <c r="A66" s="10"/>
      <c r="B66" s="11"/>
      <c r="C66" s="267"/>
      <c r="D66" s="268"/>
      <c r="E66" s="268"/>
      <c r="F66" s="269"/>
      <c r="G66" s="19"/>
      <c r="H66" s="19"/>
      <c r="I66" s="19"/>
      <c r="J66" s="19"/>
      <c r="K66" s="19"/>
      <c r="L66" s="19"/>
      <c r="M66" s="19"/>
      <c r="N66" s="19"/>
    </row>
    <row r="67" spans="1:14" s="15" customFormat="1" ht="5.0999999999999996" customHeight="1">
      <c r="A67" s="10"/>
      <c r="B67" s="11"/>
      <c r="C67" s="12"/>
      <c r="D67" s="261"/>
      <c r="E67" s="261"/>
      <c r="F67" s="13"/>
    </row>
    <row r="68" spans="1:14" s="15" customFormat="1" ht="12.75">
      <c r="A68" s="10"/>
      <c r="B68" s="11"/>
      <c r="C68" s="12"/>
      <c r="D68" s="291" t="s">
        <v>310</v>
      </c>
      <c r="E68" s="291"/>
      <c r="F68" s="291"/>
      <c r="G68" s="291"/>
      <c r="H68" s="291" t="s">
        <v>137</v>
      </c>
      <c r="I68" s="291"/>
      <c r="J68" s="291"/>
      <c r="K68" s="291"/>
      <c r="L68" s="291"/>
      <c r="M68" s="290" t="s">
        <v>138</v>
      </c>
      <c r="N68" s="290"/>
    </row>
    <row r="69" spans="1:14" s="15" customFormat="1" ht="5.0999999999999996" customHeight="1">
      <c r="A69" s="10"/>
      <c r="B69" s="11"/>
      <c r="C69" s="12"/>
      <c r="D69" s="261"/>
      <c r="E69" s="261"/>
      <c r="F69" s="13"/>
    </row>
    <row r="70" spans="1:14" s="15" customFormat="1" ht="12.75">
      <c r="A70" s="10"/>
      <c r="B70" s="11"/>
      <c r="C70" s="12"/>
      <c r="D70" s="291" t="s">
        <v>311</v>
      </c>
      <c r="E70" s="291"/>
      <c r="F70" s="291"/>
      <c r="G70" s="291"/>
      <c r="H70" s="291" t="s">
        <v>312</v>
      </c>
      <c r="I70" s="291"/>
      <c r="J70" s="291"/>
      <c r="K70" s="291"/>
      <c r="L70" s="291"/>
      <c r="M70" s="290" t="s">
        <v>313</v>
      </c>
      <c r="N70" s="290"/>
    </row>
    <row r="71" spans="1:14" s="15" customFormat="1" ht="12.75">
      <c r="A71" s="10"/>
      <c r="B71" s="11"/>
      <c r="C71" s="12"/>
      <c r="D71" s="291"/>
      <c r="E71" s="291"/>
      <c r="F71" s="291"/>
      <c r="G71" s="291"/>
      <c r="H71" s="291"/>
      <c r="I71" s="291"/>
      <c r="J71" s="291"/>
      <c r="K71" s="291"/>
      <c r="L71" s="291"/>
    </row>
    <row r="72" spans="1:14" s="15" customFormat="1" ht="5.0999999999999996" customHeight="1">
      <c r="A72" s="10"/>
      <c r="B72" s="11"/>
      <c r="C72" s="267"/>
      <c r="D72" s="268"/>
      <c r="E72" s="268"/>
      <c r="F72" s="269"/>
      <c r="G72" s="19"/>
      <c r="H72" s="19"/>
      <c r="I72" s="19"/>
      <c r="J72" s="19"/>
      <c r="K72" s="19"/>
      <c r="L72" s="19"/>
      <c r="M72" s="19"/>
      <c r="N72" s="19"/>
    </row>
    <row r="73" spans="1:14" s="15" customFormat="1" ht="5.0999999999999996" customHeight="1">
      <c r="A73" s="10"/>
      <c r="B73" s="11"/>
      <c r="C73" s="12"/>
      <c r="D73" s="261"/>
      <c r="E73" s="261"/>
      <c r="F73" s="13"/>
    </row>
    <row r="74" spans="1:14" s="15" customFormat="1" ht="12.75">
      <c r="A74" s="10"/>
      <c r="B74" s="11"/>
      <c r="C74" s="12"/>
      <c r="D74" s="291" t="s">
        <v>139</v>
      </c>
      <c r="E74" s="291"/>
      <c r="F74" s="291"/>
      <c r="G74" s="291"/>
      <c r="H74" s="291" t="s">
        <v>140</v>
      </c>
      <c r="I74" s="291"/>
      <c r="J74" s="291"/>
      <c r="K74" s="291"/>
      <c r="L74" s="291"/>
      <c r="M74" s="290" t="s">
        <v>603</v>
      </c>
      <c r="N74" s="290"/>
    </row>
    <row r="75" spans="1:14" s="15" customFormat="1" ht="5.0999999999999996" customHeight="1">
      <c r="A75" s="10"/>
      <c r="B75" s="11"/>
      <c r="C75" s="12"/>
      <c r="D75" s="261"/>
      <c r="E75" s="261"/>
      <c r="F75" s="13"/>
    </row>
    <row r="76" spans="1:14" s="15" customFormat="1" ht="12.75">
      <c r="A76" s="10"/>
      <c r="B76" s="11"/>
      <c r="C76" s="12"/>
      <c r="D76" s="291" t="s">
        <v>314</v>
      </c>
      <c r="E76" s="291"/>
      <c r="F76" s="291"/>
      <c r="G76" s="291"/>
      <c r="H76" s="291" t="s">
        <v>315</v>
      </c>
      <c r="I76" s="291"/>
      <c r="J76" s="291"/>
      <c r="K76" s="291"/>
      <c r="L76" s="291"/>
      <c r="M76" s="290" t="s">
        <v>316</v>
      </c>
      <c r="N76" s="290"/>
    </row>
    <row r="77" spans="1:14" s="15" customFormat="1" ht="12.75">
      <c r="A77" s="10"/>
      <c r="B77" s="11"/>
      <c r="C77" s="12"/>
      <c r="D77" s="291"/>
      <c r="E77" s="291"/>
      <c r="F77" s="291"/>
      <c r="G77" s="291"/>
      <c r="H77" s="291"/>
      <c r="I77" s="291"/>
      <c r="J77" s="291"/>
      <c r="K77" s="291"/>
      <c r="L77" s="291"/>
    </row>
    <row r="78" spans="1:14" s="15" customFormat="1" ht="5.0999999999999996" customHeight="1">
      <c r="A78" s="10"/>
      <c r="B78" s="11"/>
      <c r="C78" s="267"/>
      <c r="D78" s="268"/>
      <c r="E78" s="268"/>
      <c r="F78" s="269"/>
      <c r="G78" s="19"/>
      <c r="H78" s="19"/>
      <c r="I78" s="19"/>
      <c r="J78" s="19"/>
      <c r="K78" s="19"/>
      <c r="L78" s="19"/>
      <c r="M78" s="19"/>
      <c r="N78" s="19"/>
    </row>
    <row r="79" spans="1:14" s="15" customFormat="1" ht="5.0999999999999996" customHeight="1">
      <c r="A79" s="10"/>
      <c r="B79" s="11"/>
      <c r="C79" s="12"/>
      <c r="D79" s="261"/>
      <c r="E79" s="261"/>
      <c r="F79" s="13"/>
    </row>
    <row r="80" spans="1:14" s="15" customFormat="1" ht="12.75">
      <c r="A80" s="10"/>
      <c r="B80" s="11"/>
      <c r="C80" s="12"/>
      <c r="D80" s="291" t="s">
        <v>317</v>
      </c>
      <c r="E80" s="291"/>
      <c r="F80" s="291"/>
      <c r="G80" s="291"/>
      <c r="H80" s="291" t="s">
        <v>318</v>
      </c>
      <c r="I80" s="291"/>
      <c r="J80" s="291"/>
      <c r="K80" s="291"/>
      <c r="L80" s="291"/>
      <c r="M80" s="290" t="s">
        <v>319</v>
      </c>
      <c r="N80" s="290"/>
    </row>
    <row r="81" spans="1:14" s="15" customFormat="1" ht="12.75">
      <c r="A81" s="10"/>
      <c r="B81" s="11"/>
      <c r="C81" s="12"/>
      <c r="D81" s="291"/>
      <c r="E81" s="291"/>
      <c r="F81" s="291"/>
      <c r="G81" s="291"/>
      <c r="H81" s="291"/>
      <c r="I81" s="291"/>
      <c r="J81" s="291"/>
      <c r="K81" s="291"/>
      <c r="L81" s="291"/>
    </row>
    <row r="82" spans="1:14" s="15" customFormat="1" ht="5.0999999999999996" customHeight="1">
      <c r="A82" s="10"/>
      <c r="B82" s="11"/>
      <c r="C82" s="267"/>
      <c r="D82" s="268"/>
      <c r="E82" s="268"/>
      <c r="F82" s="269"/>
      <c r="G82" s="19"/>
      <c r="H82" s="19"/>
      <c r="I82" s="19"/>
      <c r="J82" s="19"/>
      <c r="K82" s="19"/>
      <c r="L82" s="19"/>
      <c r="M82" s="19"/>
      <c r="N82" s="19"/>
    </row>
    <row r="83" spans="1:14" s="15" customFormat="1" ht="5.0999999999999996" customHeight="1">
      <c r="A83" s="10"/>
      <c r="B83" s="11"/>
      <c r="C83" s="12"/>
      <c r="D83" s="261"/>
      <c r="E83" s="261"/>
      <c r="F83" s="13"/>
    </row>
    <row r="84" spans="1:14" s="15" customFormat="1" ht="12.75">
      <c r="A84" s="10"/>
      <c r="B84" s="11"/>
      <c r="C84" s="12"/>
      <c r="D84" s="291" t="s">
        <v>134</v>
      </c>
      <c r="E84" s="291"/>
      <c r="F84" s="291"/>
      <c r="G84" s="291"/>
      <c r="H84" s="291" t="s">
        <v>135</v>
      </c>
      <c r="I84" s="291"/>
      <c r="J84" s="291"/>
      <c r="K84" s="291"/>
      <c r="L84" s="291"/>
      <c r="M84" s="290" t="s">
        <v>136</v>
      </c>
      <c r="N84" s="290"/>
    </row>
    <row r="85" spans="1:14" s="15" customFormat="1" ht="5.0999999999999996" customHeight="1">
      <c r="A85" s="10"/>
      <c r="B85" s="11"/>
      <c r="C85" s="267"/>
      <c r="D85" s="268"/>
      <c r="E85" s="268"/>
      <c r="F85" s="269"/>
      <c r="G85" s="19"/>
      <c r="H85" s="19"/>
      <c r="I85" s="19"/>
      <c r="J85" s="19"/>
      <c r="K85" s="19"/>
      <c r="L85" s="19"/>
      <c r="M85" s="19"/>
      <c r="N85" s="19"/>
    </row>
    <row r="86" spans="1:14" s="15" customFormat="1" ht="5.0999999999999996" customHeight="1">
      <c r="A86" s="10"/>
      <c r="B86" s="11"/>
      <c r="C86" s="12"/>
      <c r="D86" s="261"/>
      <c r="E86" s="261"/>
      <c r="F86" s="13"/>
    </row>
    <row r="87" spans="1:14" s="15" customFormat="1" ht="12.75">
      <c r="A87" s="10"/>
      <c r="B87" s="11"/>
      <c r="C87" s="12"/>
      <c r="D87" s="291" t="s">
        <v>141</v>
      </c>
      <c r="E87" s="291"/>
      <c r="F87" s="291"/>
      <c r="G87" s="291"/>
      <c r="H87" s="291" t="s">
        <v>142</v>
      </c>
      <c r="I87" s="291"/>
      <c r="J87" s="291"/>
      <c r="K87" s="291"/>
      <c r="L87" s="291"/>
      <c r="M87" s="290" t="s">
        <v>143</v>
      </c>
      <c r="N87" s="290"/>
    </row>
    <row r="88" spans="1:14" s="15" customFormat="1" ht="5.0999999999999996" customHeight="1">
      <c r="A88" s="10"/>
      <c r="B88" s="11"/>
      <c r="C88" s="264"/>
      <c r="D88" s="265"/>
      <c r="E88" s="265"/>
      <c r="F88" s="266"/>
      <c r="G88" s="17"/>
      <c r="H88" s="17"/>
      <c r="I88" s="17"/>
      <c r="J88" s="17"/>
      <c r="K88" s="17"/>
      <c r="L88" s="17"/>
      <c r="M88" s="17"/>
      <c r="N88" s="17"/>
    </row>
    <row r="89" spans="1:14" s="15" customFormat="1" ht="5.0999999999999996" customHeight="1">
      <c r="A89" s="10"/>
      <c r="B89" s="11"/>
      <c r="C89" s="12"/>
      <c r="D89" s="261"/>
      <c r="E89" s="261"/>
      <c r="F89" s="13"/>
    </row>
    <row r="90" spans="1:14" s="15" customFormat="1" ht="12.75">
      <c r="A90" s="10"/>
      <c r="B90" s="11"/>
      <c r="C90" s="12"/>
      <c r="D90" s="291" t="s">
        <v>144</v>
      </c>
      <c r="E90" s="291"/>
      <c r="F90" s="291"/>
      <c r="G90" s="291"/>
      <c r="H90" s="291" t="s">
        <v>320</v>
      </c>
      <c r="I90" s="291"/>
      <c r="J90" s="291"/>
      <c r="K90" s="291"/>
      <c r="L90" s="291"/>
      <c r="M90" s="290" t="s">
        <v>145</v>
      </c>
      <c r="N90" s="290"/>
    </row>
    <row r="91" spans="1:14" s="15" customFormat="1" ht="12.75">
      <c r="A91" s="10"/>
      <c r="B91" s="11"/>
      <c r="C91" s="12"/>
      <c r="D91" s="291"/>
      <c r="E91" s="291"/>
      <c r="F91" s="291"/>
      <c r="G91" s="291"/>
      <c r="H91" s="291"/>
      <c r="I91" s="291"/>
      <c r="J91" s="291"/>
      <c r="K91" s="291"/>
      <c r="L91" s="291"/>
    </row>
    <row r="92" spans="1:14" s="15" customFormat="1" ht="5.0999999999999996" customHeight="1">
      <c r="A92" s="10"/>
      <c r="B92" s="11"/>
      <c r="C92" s="12"/>
      <c r="D92" s="261"/>
      <c r="E92" s="261"/>
      <c r="F92" s="13"/>
    </row>
    <row r="93" spans="1:14" s="15" customFormat="1" ht="12.75">
      <c r="A93" s="10"/>
      <c r="B93" s="11"/>
      <c r="C93" s="12"/>
      <c r="D93" s="291" t="s">
        <v>146</v>
      </c>
      <c r="E93" s="291"/>
      <c r="F93" s="291"/>
      <c r="G93" s="291"/>
      <c r="H93" s="291" t="s">
        <v>321</v>
      </c>
      <c r="I93" s="291"/>
      <c r="J93" s="291"/>
      <c r="K93" s="291"/>
      <c r="L93" s="291"/>
      <c r="M93" s="290" t="s">
        <v>147</v>
      </c>
      <c r="N93" s="290"/>
    </row>
    <row r="94" spans="1:14" s="15" customFormat="1" ht="12.75">
      <c r="A94" s="10"/>
      <c r="B94" s="11"/>
      <c r="C94" s="12"/>
      <c r="D94" s="291"/>
      <c r="E94" s="291"/>
      <c r="F94" s="291"/>
      <c r="G94" s="291"/>
      <c r="H94" s="291"/>
      <c r="I94" s="291"/>
      <c r="J94" s="291"/>
      <c r="K94" s="291"/>
      <c r="L94" s="291"/>
    </row>
    <row r="95" spans="1:14" s="15" customFormat="1" ht="5.0999999999999996" customHeight="1">
      <c r="A95" s="10"/>
      <c r="B95" s="11"/>
      <c r="C95" s="267"/>
      <c r="D95" s="268"/>
      <c r="E95" s="268"/>
      <c r="F95" s="269"/>
      <c r="G95" s="19"/>
      <c r="H95" s="19"/>
      <c r="I95" s="19"/>
      <c r="J95" s="19"/>
      <c r="K95" s="19"/>
      <c r="L95" s="19"/>
      <c r="M95" s="19"/>
      <c r="N95" s="19"/>
    </row>
    <row r="96" spans="1:14" s="15" customFormat="1" ht="5.0999999999999996" customHeight="1">
      <c r="A96" s="10"/>
      <c r="B96" s="11"/>
      <c r="C96" s="12"/>
      <c r="D96" s="261"/>
      <c r="E96" s="261"/>
      <c r="F96" s="13"/>
    </row>
    <row r="97" spans="1:14" s="15" customFormat="1" ht="12.75">
      <c r="A97" s="10"/>
      <c r="B97" s="11"/>
      <c r="C97" s="12"/>
      <c r="D97" s="291" t="s">
        <v>598</v>
      </c>
      <c r="E97" s="291"/>
      <c r="F97" s="291"/>
      <c r="G97" s="291"/>
      <c r="H97" s="291" t="s">
        <v>599</v>
      </c>
      <c r="I97" s="291"/>
      <c r="J97" s="291"/>
      <c r="K97" s="291"/>
      <c r="L97" s="291"/>
      <c r="M97" s="290" t="s">
        <v>600</v>
      </c>
      <c r="N97" s="290"/>
    </row>
    <row r="98" spans="1:14" s="15" customFormat="1" ht="12.75">
      <c r="A98" s="10"/>
      <c r="B98" s="11"/>
      <c r="C98" s="12"/>
      <c r="D98" s="291"/>
      <c r="E98" s="291"/>
      <c r="F98" s="291"/>
      <c r="G98" s="291"/>
      <c r="H98" s="291"/>
      <c r="I98" s="291"/>
      <c r="J98" s="291"/>
      <c r="K98" s="291"/>
      <c r="L98" s="291"/>
    </row>
    <row r="99" spans="1:14" s="15" customFormat="1" ht="5.0999999999999996" customHeight="1">
      <c r="A99" s="10"/>
      <c r="B99" s="11"/>
      <c r="C99" s="264"/>
      <c r="D99" s="265"/>
      <c r="E99" s="265"/>
      <c r="F99" s="266"/>
      <c r="G99" s="17"/>
      <c r="H99" s="17"/>
      <c r="I99" s="17"/>
      <c r="J99" s="17"/>
      <c r="K99" s="17"/>
      <c r="L99" s="17"/>
      <c r="M99" s="17"/>
      <c r="N99" s="17"/>
    </row>
    <row r="100" spans="1:14" s="15" customFormat="1" ht="12.75">
      <c r="A100" s="10"/>
      <c r="B100" s="11"/>
      <c r="C100" s="12"/>
      <c r="D100" s="261"/>
      <c r="E100" s="261"/>
      <c r="F100" s="13"/>
    </row>
    <row r="101" spans="1:14" s="15" customFormat="1" ht="12.75">
      <c r="A101" s="10"/>
      <c r="B101" s="11"/>
      <c r="C101" s="25" t="s">
        <v>601</v>
      </c>
      <c r="D101" s="261"/>
      <c r="E101" s="261"/>
      <c r="F101" s="13"/>
    </row>
    <row r="102" spans="1:14" s="15" customFormat="1" ht="12.75">
      <c r="A102" s="10"/>
      <c r="B102" s="11"/>
      <c r="C102" s="35" t="s">
        <v>322</v>
      </c>
      <c r="D102" s="261"/>
      <c r="E102" s="261"/>
      <c r="F102" s="13"/>
    </row>
    <row r="103" spans="1:14" s="15" customFormat="1" ht="12.75">
      <c r="A103" s="10"/>
      <c r="B103" s="11"/>
      <c r="C103" s="35" t="s">
        <v>602</v>
      </c>
      <c r="D103" s="261"/>
      <c r="E103" s="261"/>
      <c r="F103" s="13"/>
    </row>
    <row r="104" spans="1:14" s="15" customFormat="1" ht="12.75">
      <c r="A104" s="10"/>
      <c r="B104" s="11"/>
      <c r="C104" s="12"/>
      <c r="D104" s="261"/>
      <c r="E104" s="261"/>
      <c r="F104" s="13"/>
    </row>
    <row r="105" spans="1:14" s="15" customFormat="1" ht="12.75">
      <c r="A105" s="10"/>
      <c r="B105" s="11"/>
      <c r="C105" s="12"/>
      <c r="D105" s="261"/>
      <c r="E105" s="261"/>
      <c r="F105" s="13"/>
    </row>
    <row r="106" spans="1:14" s="15" customFormat="1" ht="12.75">
      <c r="A106" s="10"/>
      <c r="B106" s="32" t="s">
        <v>148</v>
      </c>
      <c r="C106" s="12"/>
      <c r="D106" s="261"/>
      <c r="E106" s="261"/>
      <c r="F106" s="13"/>
    </row>
    <row r="107" spans="1:14" s="15" customFormat="1" ht="12.75">
      <c r="A107" s="10"/>
      <c r="B107" s="11"/>
      <c r="C107" s="12"/>
      <c r="D107" s="261"/>
      <c r="E107" s="261"/>
      <c r="F107" s="13"/>
    </row>
    <row r="108" spans="1:14" s="15" customFormat="1" ht="12.75">
      <c r="A108" s="10"/>
      <c r="B108" s="11"/>
      <c r="C108" s="264"/>
      <c r="D108" s="34" t="s">
        <v>149</v>
      </c>
      <c r="E108" s="265"/>
      <c r="F108" s="266"/>
      <c r="G108" s="17"/>
      <c r="H108" s="34" t="s">
        <v>150</v>
      </c>
      <c r="I108" s="17"/>
      <c r="J108" s="17"/>
      <c r="K108" s="17"/>
      <c r="L108" s="17"/>
      <c r="M108" s="289" t="s">
        <v>151</v>
      </c>
      <c r="N108" s="289"/>
    </row>
    <row r="109" spans="1:14" s="15" customFormat="1" ht="5.0999999999999996" customHeight="1">
      <c r="A109" s="10"/>
      <c r="B109" s="11"/>
      <c r="C109" s="12"/>
      <c r="D109" s="261"/>
      <c r="E109" s="261"/>
      <c r="F109" s="13"/>
    </row>
    <row r="110" spans="1:14" s="15" customFormat="1" ht="12.75">
      <c r="A110" s="10"/>
      <c r="B110" s="11"/>
      <c r="C110" s="12"/>
      <c r="D110" s="287" t="s">
        <v>152</v>
      </c>
      <c r="E110" s="287"/>
      <c r="F110" s="287"/>
      <c r="G110" s="287"/>
      <c r="H110" s="287" t="s">
        <v>153</v>
      </c>
      <c r="I110" s="287"/>
      <c r="J110" s="287"/>
      <c r="K110" s="287"/>
      <c r="L110" s="287"/>
      <c r="M110" s="288" t="s">
        <v>154</v>
      </c>
      <c r="N110" s="288"/>
    </row>
    <row r="111" spans="1:14" s="15" customFormat="1" ht="5.0999999999999996" customHeight="1">
      <c r="A111" s="10"/>
      <c r="B111" s="11"/>
      <c r="C111" s="12"/>
      <c r="D111" s="261"/>
      <c r="E111" s="261"/>
      <c r="F111" s="13"/>
    </row>
    <row r="112" spans="1:14" s="15" customFormat="1" ht="12.75">
      <c r="A112" s="10"/>
      <c r="B112" s="11"/>
      <c r="C112" s="12"/>
      <c r="D112" s="287" t="s">
        <v>155</v>
      </c>
      <c r="E112" s="287"/>
      <c r="F112" s="287"/>
      <c r="G112" s="287"/>
      <c r="H112" s="287" t="s">
        <v>156</v>
      </c>
      <c r="I112" s="287"/>
      <c r="J112" s="287"/>
      <c r="K112" s="287"/>
      <c r="L112" s="287"/>
      <c r="M112" s="288" t="s">
        <v>157</v>
      </c>
      <c r="N112" s="288"/>
    </row>
    <row r="113" spans="1:14" s="15" customFormat="1" ht="5.0999999999999996" customHeight="1">
      <c r="A113" s="10"/>
      <c r="B113" s="11"/>
      <c r="C113" s="12"/>
      <c r="D113" s="261"/>
      <c r="E113" s="261"/>
      <c r="F113" s="13"/>
    </row>
    <row r="114" spans="1:14" s="15" customFormat="1" ht="12.75">
      <c r="A114" s="10"/>
      <c r="B114" s="11"/>
      <c r="C114" s="12"/>
      <c r="D114" s="287" t="s">
        <v>158</v>
      </c>
      <c r="E114" s="287"/>
      <c r="F114" s="287"/>
      <c r="G114" s="287"/>
      <c r="H114" s="287" t="s">
        <v>159</v>
      </c>
      <c r="I114" s="287"/>
      <c r="J114" s="287"/>
      <c r="K114" s="287"/>
      <c r="L114" s="287"/>
      <c r="M114" s="288" t="s">
        <v>160</v>
      </c>
      <c r="N114" s="288"/>
    </row>
    <row r="115" spans="1:14" s="15" customFormat="1" ht="5.0999999999999996" customHeight="1">
      <c r="A115" s="10"/>
      <c r="B115" s="11"/>
      <c r="C115" s="12"/>
      <c r="D115" s="261"/>
      <c r="E115" s="261"/>
      <c r="F115" s="13"/>
    </row>
    <row r="116" spans="1:14" s="15" customFormat="1" ht="12.75">
      <c r="A116" s="10"/>
      <c r="B116" s="11"/>
      <c r="C116" s="12"/>
      <c r="D116" s="287" t="s">
        <v>161</v>
      </c>
      <c r="E116" s="287"/>
      <c r="F116" s="287"/>
      <c r="G116" s="287"/>
      <c r="H116" s="287" t="s">
        <v>162</v>
      </c>
      <c r="I116" s="287"/>
      <c r="J116" s="287"/>
      <c r="K116" s="287"/>
      <c r="L116" s="287"/>
      <c r="M116" s="288" t="s">
        <v>163</v>
      </c>
      <c r="N116" s="288"/>
    </row>
    <row r="117" spans="1:14" s="15" customFormat="1" ht="5.0999999999999996" customHeight="1">
      <c r="A117" s="10"/>
      <c r="B117" s="11"/>
      <c r="C117" s="12"/>
      <c r="D117" s="261"/>
      <c r="E117" s="261"/>
      <c r="F117" s="13"/>
    </row>
    <row r="118" spans="1:14" s="15" customFormat="1" ht="12.75">
      <c r="A118" s="10"/>
      <c r="B118" s="11"/>
      <c r="C118" s="12"/>
      <c r="D118" s="287" t="s">
        <v>164</v>
      </c>
      <c r="E118" s="287"/>
      <c r="F118" s="287"/>
      <c r="G118" s="287"/>
      <c r="H118" s="287" t="s">
        <v>165</v>
      </c>
      <c r="I118" s="287"/>
      <c r="J118" s="287"/>
      <c r="K118" s="287"/>
      <c r="L118" s="287"/>
      <c r="M118" s="288" t="s">
        <v>166</v>
      </c>
      <c r="N118" s="288"/>
    </row>
    <row r="119" spans="1:14" s="15" customFormat="1" ht="5.0999999999999996" customHeight="1">
      <c r="A119" s="10"/>
      <c r="B119" s="11"/>
      <c r="C119" s="12"/>
      <c r="D119" s="261"/>
      <c r="E119" s="261"/>
      <c r="F119" s="13"/>
    </row>
    <row r="120" spans="1:14" s="15" customFormat="1" ht="12.75">
      <c r="A120" s="10"/>
      <c r="B120" s="11"/>
      <c r="C120" s="12"/>
      <c r="D120" s="287" t="s">
        <v>317</v>
      </c>
      <c r="E120" s="287"/>
      <c r="F120" s="287"/>
      <c r="G120" s="287"/>
      <c r="H120" s="287" t="s">
        <v>167</v>
      </c>
      <c r="I120" s="287"/>
      <c r="J120" s="287"/>
      <c r="K120" s="287"/>
      <c r="L120" s="287"/>
      <c r="M120" s="288" t="s">
        <v>168</v>
      </c>
      <c r="N120" s="288"/>
    </row>
    <row r="121" spans="1:14" s="15" customFormat="1" ht="5.0999999999999996" customHeight="1">
      <c r="A121" s="10"/>
      <c r="B121" s="11"/>
      <c r="C121" s="12"/>
      <c r="D121" s="261"/>
      <c r="E121" s="261"/>
      <c r="F121" s="13"/>
    </row>
    <row r="122" spans="1:14" s="15" customFormat="1" ht="12.75">
      <c r="A122" s="10"/>
      <c r="B122" s="11"/>
      <c r="C122" s="12"/>
      <c r="D122" s="287" t="s">
        <v>109</v>
      </c>
      <c r="E122" s="287"/>
      <c r="F122" s="287"/>
      <c r="G122" s="287"/>
      <c r="H122" s="287" t="s">
        <v>169</v>
      </c>
      <c r="I122" s="287"/>
      <c r="J122" s="287"/>
      <c r="K122" s="287"/>
      <c r="L122" s="287"/>
      <c r="M122" s="288" t="s">
        <v>170</v>
      </c>
      <c r="N122" s="288"/>
    </row>
    <row r="123" spans="1:14" s="15" customFormat="1" ht="5.0999999999999996" customHeight="1">
      <c r="A123" s="10"/>
      <c r="B123" s="11"/>
      <c r="C123" s="12"/>
      <c r="D123" s="261"/>
      <c r="E123" s="261"/>
      <c r="F123" s="13"/>
    </row>
    <row r="124" spans="1:14" s="15" customFormat="1" ht="12.75">
      <c r="A124" s="10"/>
      <c r="B124" s="11"/>
      <c r="C124" s="12"/>
      <c r="D124" s="287" t="s">
        <v>323</v>
      </c>
      <c r="E124" s="287"/>
      <c r="F124" s="287"/>
      <c r="G124" s="287"/>
      <c r="H124" s="287" t="s">
        <v>171</v>
      </c>
      <c r="I124" s="287"/>
      <c r="J124" s="287"/>
      <c r="K124" s="287"/>
      <c r="L124" s="287"/>
      <c r="M124" s="288" t="s">
        <v>172</v>
      </c>
      <c r="N124" s="288"/>
    </row>
    <row r="125" spans="1:14" s="15" customFormat="1" ht="5.0999999999999996" customHeight="1">
      <c r="A125" s="10"/>
      <c r="B125" s="11"/>
      <c r="C125" s="12"/>
      <c r="D125" s="261"/>
      <c r="E125" s="261"/>
      <c r="F125" s="13"/>
    </row>
    <row r="126" spans="1:14" s="15" customFormat="1" ht="12.75">
      <c r="A126" s="10"/>
      <c r="B126" s="11"/>
      <c r="C126" s="12"/>
      <c r="D126" s="287" t="s">
        <v>324</v>
      </c>
      <c r="E126" s="287"/>
      <c r="F126" s="287"/>
      <c r="G126" s="287"/>
      <c r="H126" s="287" t="s">
        <v>173</v>
      </c>
      <c r="I126" s="287"/>
      <c r="J126" s="287"/>
      <c r="K126" s="287"/>
      <c r="L126" s="287"/>
      <c r="M126" s="288" t="s">
        <v>174</v>
      </c>
      <c r="N126" s="288"/>
    </row>
    <row r="127" spans="1:14" s="15" customFormat="1" ht="5.0999999999999996" customHeight="1">
      <c r="A127" s="10"/>
      <c r="B127" s="11"/>
      <c r="C127" s="12"/>
      <c r="D127" s="261"/>
      <c r="E127" s="261"/>
      <c r="F127" s="13"/>
    </row>
    <row r="128" spans="1:14" s="15" customFormat="1" ht="12.75">
      <c r="A128" s="10"/>
      <c r="B128" s="11"/>
      <c r="C128" s="12"/>
      <c r="D128" s="287" t="s">
        <v>325</v>
      </c>
      <c r="E128" s="287"/>
      <c r="F128" s="287"/>
      <c r="G128" s="287"/>
      <c r="H128" s="287" t="s">
        <v>175</v>
      </c>
      <c r="I128" s="287"/>
      <c r="J128" s="287"/>
      <c r="K128" s="287"/>
      <c r="L128" s="287"/>
      <c r="M128" s="288" t="s">
        <v>176</v>
      </c>
      <c r="N128" s="288"/>
    </row>
    <row r="129" spans="1:14" s="15" customFormat="1" ht="5.0999999999999996" customHeight="1">
      <c r="A129" s="10"/>
      <c r="B129" s="11"/>
      <c r="C129" s="12"/>
      <c r="D129" s="261"/>
      <c r="E129" s="261"/>
      <c r="F129" s="13"/>
    </row>
    <row r="130" spans="1:14" s="15" customFormat="1" ht="12.75">
      <c r="A130" s="10"/>
      <c r="B130" s="11"/>
      <c r="C130" s="12"/>
      <c r="D130" s="287" t="s">
        <v>326</v>
      </c>
      <c r="E130" s="287"/>
      <c r="F130" s="287"/>
      <c r="G130" s="287"/>
      <c r="H130" s="287" t="s">
        <v>177</v>
      </c>
      <c r="I130" s="287"/>
      <c r="J130" s="287"/>
      <c r="K130" s="287"/>
      <c r="L130" s="287"/>
      <c r="M130" s="288" t="s">
        <v>178</v>
      </c>
      <c r="N130" s="288"/>
    </row>
    <row r="131" spans="1:14" s="15" customFormat="1" ht="5.0999999999999996" customHeight="1">
      <c r="A131" s="10"/>
      <c r="B131" s="11"/>
      <c r="C131" s="12"/>
      <c r="D131" s="261"/>
      <c r="E131" s="261"/>
      <c r="F131" s="13"/>
    </row>
    <row r="132" spans="1:14" s="15" customFormat="1" ht="12.75">
      <c r="A132" s="10"/>
      <c r="B132" s="11"/>
      <c r="C132" s="12"/>
      <c r="D132" s="287" t="s">
        <v>327</v>
      </c>
      <c r="E132" s="287"/>
      <c r="F132" s="287"/>
      <c r="G132" s="287"/>
      <c r="H132" s="287" t="s">
        <v>179</v>
      </c>
      <c r="I132" s="287"/>
      <c r="J132" s="287"/>
      <c r="K132" s="287"/>
      <c r="L132" s="287"/>
      <c r="M132" s="288" t="s">
        <v>180</v>
      </c>
      <c r="N132" s="288"/>
    </row>
    <row r="133" spans="1:14" s="15" customFormat="1" ht="5.0999999999999996" customHeight="1">
      <c r="A133" s="10"/>
      <c r="B133" s="11"/>
      <c r="C133" s="12"/>
      <c r="D133" s="261"/>
      <c r="E133" s="261"/>
      <c r="F133" s="13"/>
    </row>
    <row r="134" spans="1:14" s="15" customFormat="1" ht="12.75">
      <c r="A134" s="10"/>
      <c r="B134" s="11"/>
      <c r="C134" s="12"/>
      <c r="D134" s="287" t="s">
        <v>328</v>
      </c>
      <c r="E134" s="287"/>
      <c r="F134" s="287"/>
      <c r="G134" s="287"/>
      <c r="H134" s="287" t="s">
        <v>181</v>
      </c>
      <c r="I134" s="287"/>
      <c r="J134" s="287"/>
      <c r="K134" s="287"/>
      <c r="L134" s="287"/>
      <c r="M134" s="288" t="s">
        <v>182</v>
      </c>
      <c r="N134" s="288"/>
    </row>
    <row r="135" spans="1:14" s="15" customFormat="1" ht="5.0999999999999996" customHeight="1">
      <c r="A135" s="10"/>
      <c r="B135" s="11"/>
      <c r="C135" s="12"/>
      <c r="D135" s="261"/>
      <c r="E135" s="261"/>
      <c r="F135" s="13"/>
    </row>
    <row r="136" spans="1:14" s="15" customFormat="1" ht="12.75">
      <c r="A136" s="10"/>
      <c r="B136" s="11"/>
      <c r="C136" s="12"/>
      <c r="D136" s="287" t="s">
        <v>183</v>
      </c>
      <c r="E136" s="287"/>
      <c r="F136" s="287"/>
      <c r="G136" s="287"/>
      <c r="H136" s="287" t="s">
        <v>184</v>
      </c>
      <c r="I136" s="287"/>
      <c r="J136" s="287"/>
      <c r="K136" s="287"/>
      <c r="L136" s="287"/>
      <c r="M136" s="288" t="s">
        <v>185</v>
      </c>
      <c r="N136" s="288"/>
    </row>
    <row r="137" spans="1:14" s="15" customFormat="1" ht="5.0999999999999996" customHeight="1">
      <c r="A137" s="10"/>
      <c r="B137" s="11"/>
      <c r="C137" s="264"/>
      <c r="D137" s="265"/>
      <c r="E137" s="265"/>
      <c r="F137" s="266"/>
      <c r="G137" s="17"/>
      <c r="H137" s="17"/>
      <c r="I137" s="17"/>
      <c r="J137" s="17"/>
      <c r="K137" s="17"/>
      <c r="L137" s="17"/>
      <c r="M137" s="17"/>
      <c r="N137" s="17"/>
    </row>
  </sheetData>
  <mergeCells count="131">
    <mergeCell ref="D48:G48"/>
    <mergeCell ref="H48:L48"/>
    <mergeCell ref="M48:N48"/>
    <mergeCell ref="D50:G50"/>
    <mergeCell ref="H50:L50"/>
    <mergeCell ref="M50:N50"/>
    <mergeCell ref="D44:G44"/>
    <mergeCell ref="H44:L44"/>
    <mergeCell ref="M44:N44"/>
    <mergeCell ref="D46:G46"/>
    <mergeCell ref="H46:L46"/>
    <mergeCell ref="M46:N46"/>
    <mergeCell ref="D40:G40"/>
    <mergeCell ref="H40:L40"/>
    <mergeCell ref="M40:N40"/>
    <mergeCell ref="D42:G42"/>
    <mergeCell ref="H42:L42"/>
    <mergeCell ref="M42:N42"/>
    <mergeCell ref="M33:N33"/>
    <mergeCell ref="D33:G34"/>
    <mergeCell ref="H33:L34"/>
    <mergeCell ref="M38:N38"/>
    <mergeCell ref="D28:G28"/>
    <mergeCell ref="H28:L28"/>
    <mergeCell ref="M28:N28"/>
    <mergeCell ref="M30:N30"/>
    <mergeCell ref="D30:G31"/>
    <mergeCell ref="H30:L31"/>
    <mergeCell ref="M20:N20"/>
    <mergeCell ref="M23:N23"/>
    <mergeCell ref="D23:G24"/>
    <mergeCell ref="H23:L24"/>
    <mergeCell ref="D20:G20"/>
    <mergeCell ref="H20:L20"/>
    <mergeCell ref="D15:G15"/>
    <mergeCell ref="H15:L15"/>
    <mergeCell ref="M15:N15"/>
    <mergeCell ref="M17:N17"/>
    <mergeCell ref="D17:G18"/>
    <mergeCell ref="H17:L18"/>
    <mergeCell ref="B3:F3"/>
    <mergeCell ref="M9:N9"/>
    <mergeCell ref="D13:G13"/>
    <mergeCell ref="H13:L13"/>
    <mergeCell ref="M13:N13"/>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7" t="s">
        <v>199</v>
      </c>
    </row>
    <row r="11" spans="3:7" ht="15">
      <c r="C11" s="2" t="str">
        <f ca="1">Model_Name</f>
        <v>SMA 7. Outputs &amp; Presentations - Practical Exercise (Solution)</v>
      </c>
    </row>
    <row r="12" spans="3:7">
      <c r="C12" s="270" t="s">
        <v>48</v>
      </c>
      <c r="D12" s="270"/>
      <c r="E12" s="270"/>
      <c r="F12" s="270"/>
      <c r="G12" s="270"/>
    </row>
    <row r="13" spans="3:7" ht="12.75">
      <c r="C13" s="11" t="s">
        <v>53</v>
      </c>
      <c r="D13" s="12" t="s">
        <v>102</v>
      </c>
    </row>
    <row r="17" spans="3:3">
      <c r="C17" s="25" t="s">
        <v>460</v>
      </c>
    </row>
    <row r="18" spans="3:3">
      <c r="C18" s="26" t="s">
        <v>386</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7" t="s">
        <v>504</v>
      </c>
    </row>
    <row r="11" spans="3:11" ht="15">
      <c r="C11" s="2" t="str">
        <f ca="1">Model_Name</f>
        <v>SMA 7. Outputs &amp; Presentations - Practical Exercise (Solution)</v>
      </c>
    </row>
    <row r="12" spans="3:11">
      <c r="C12" s="270" t="s">
        <v>48</v>
      </c>
      <c r="D12" s="270"/>
      <c r="E12" s="270"/>
      <c r="F12" s="270"/>
      <c r="G12" s="270"/>
    </row>
    <row r="13" spans="3:11" ht="12.75">
      <c r="C13" s="11" t="s">
        <v>53</v>
      </c>
      <c r="D13" s="12" t="s">
        <v>102</v>
      </c>
      <c r="J13" s="24"/>
      <c r="K13" s="24"/>
    </row>
    <row r="14" spans="3:11">
      <c r="J14" s="24"/>
      <c r="K14" s="24"/>
    </row>
    <row r="15" spans="3:11">
      <c r="J15" s="24"/>
      <c r="K15" s="24"/>
    </row>
    <row r="16" spans="3:11">
      <c r="J16" s="24"/>
      <c r="K16" s="24"/>
    </row>
    <row r="17" spans="3:3">
      <c r="C17" s="25" t="s">
        <v>498</v>
      </c>
    </row>
    <row r="18" spans="3:3">
      <c r="C18" s="177" t="s">
        <v>499</v>
      </c>
    </row>
    <row r="19" spans="3:3">
      <c r="C19" s="177"/>
    </row>
    <row r="20" spans="3:3">
      <c r="C20" s="177"/>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181</vt:i4>
      </vt:variant>
    </vt:vector>
  </HeadingPairs>
  <TitlesOfParts>
    <vt:vector size="222"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BS_Sum_2_P_MS</vt:lpstr>
      <vt:lpstr>Custom_Dashboard_MS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Alt_Chk_2_Hdg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vt:lpstr>
      <vt:lpstr>HL_Alt_Chk_14</vt:lpstr>
      <vt:lpstr>HL_Alt_Chk_15</vt:lpstr>
      <vt:lpstr>HL_Alt_Chk_2</vt:lpstr>
      <vt:lpstr>HL_Err_Chk</vt:lpstr>
      <vt:lpstr>HL_Err_Chk_11</vt:lpstr>
      <vt:lpstr>HL_Err_Chk_13</vt:lpstr>
      <vt:lpstr>HL_Err_Chk_14</vt:lpstr>
      <vt:lpstr>HL_Err_Chk_15</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BS_Sum_2_P_MS!Print_Area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Custom_Dashboard_MS!Print_Area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2010-08-24T00:20:39Z</cp:lastPrinted>
  <dcterms:created xsi:type="dcterms:W3CDTF">2006-03-09T22:44:34Z</dcterms:created>
  <dcterms:modified xsi:type="dcterms:W3CDTF">2010-12-21T06:13:59Z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