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charts/chart5.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360" yWindow="90" windowWidth="12930" windowHeight="6870" tabRatio="950"/>
  </bookViews>
  <sheets>
    <sheet name="Cover" sheetId="177" r:id="rId1"/>
    <sheet name="Contents" sheetId="176" r:id="rId2"/>
    <sheet name="Overview_SC" sheetId="123" r:id="rId3"/>
    <sheet name="Notes_SSC" sheetId="124" r:id="rId4"/>
    <sheet name="Notes_BO" sheetId="122" r:id="rId5"/>
    <sheet name="Op_Formula_P_MS" sheetId="189" r:id="rId6"/>
    <sheet name="Keys_SSC" sheetId="127" r:id="rId7"/>
    <sheet name="Keys_BO" sheetId="128" r:id="rId8"/>
    <sheet name="Assumptions_SC" sheetId="132" r:id="rId9"/>
    <sheet name="TS_Ass_SSC" sheetId="183" r:id="rId10"/>
    <sheet name="TS_BA" sheetId="131" r:id="rId11"/>
    <sheet name="Fcast_Ass_SSC" sheetId="184" r:id="rId12"/>
    <sheet name="Fcast_TA" sheetId="133" r:id="rId13"/>
    <sheet name="Base_OP_SC" sheetId="137" r:id="rId14"/>
    <sheet name="Fcast_OP_SSC" sheetId="186" r:id="rId15"/>
    <sheet name="Fcast_TO" sheetId="138" r:id="rId16"/>
    <sheet name="FS_OP_SSC" sheetId="187" r:id="rId17"/>
    <sheet name="IS_TO" sheetId="161" r:id="rId18"/>
    <sheet name="BS_TO" sheetId="162" r:id="rId19"/>
    <sheet name="CFS_TO" sheetId="163" r:id="rId20"/>
    <sheet name="Dashboards_SSC" sheetId="188" r:id="rId21"/>
    <sheet name="BS_Sum_P_MS" sheetId="180" r:id="rId22"/>
    <sheet name="Appendices_SC" sheetId="168" r:id="rId23"/>
    <sheet name="Checks_SSC" sheetId="134" r:id="rId24"/>
    <sheet name="Checks_BO" sheetId="135" r:id="rId25"/>
    <sheet name="LU_SSC" sheetId="169" r:id="rId26"/>
    <sheet name="TS_LU" sheetId="130" r:id="rId27"/>
    <sheet name="Capital_LU" sheetId="174" r:id="rId28"/>
    <sheet name="Dashboards_LU" sheetId="182" r:id="rId29"/>
  </sheets>
  <definedNames>
    <definedName name="Alt_Chk_1_Hdg" hidden="1">Fcast_TA!$B$16</definedName>
    <definedName name="Alt_Chk_11_Hdg" hidden="1">Fcast_TA!$C$71</definedName>
    <definedName name="Alt_Chk_12_Hdg" hidden="1">Fcast_TA!$B$98</definedName>
    <definedName name="Alt_Chk_14_Hdg" hidden="1">BS_TO!$B$1</definedName>
    <definedName name="Alt_Chk_15_Hdg" hidden="1">Fcast_TO!$C$117</definedName>
    <definedName name="Alt_Chk_4_Hdg" hidden="1">Fcast_TO!$B$16</definedName>
    <definedName name="Alt_Chks_Msg">Checks_BO!$I$56</definedName>
    <definedName name="Alt_Chks_Ttl_Areas">Checks_BO!$M$65</definedName>
    <definedName name="Annual">TS_LU!$D$77</definedName>
    <definedName name="BA_Alt_Chks" hidden="1">Checks_BO!$47:$65</definedName>
    <definedName name="BA_Err_Chks" hidden="1">Checks_BO!$5:$30</definedName>
    <definedName name="BA_Formats_Styles" hidden="1">Keys_BO!$5:$51</definedName>
    <definedName name="BA_LU" hidden="1">TS_LU!$5:$105</definedName>
    <definedName name="BA_Range_Naming" hidden="1">Keys_BO!$104:$137</definedName>
    <definedName name="BA_Sens_Chks" hidden="1">Checks_BO!$31:$46</definedName>
    <definedName name="BA_Sheet_Naming" hidden="1">Keys_BO!$52:$103</definedName>
    <definedName name="BA_TS_Ass" hidden="1">TS_BA!$5:$65</definedName>
    <definedName name="Billion">TS_LU!$D$105</definedName>
    <definedName name="Billions">TS_LU!$D$63</definedName>
    <definedName name="BPM_TC_1" hidden="1">Fcast_TO!$I$18</definedName>
    <definedName name="BPM_TC_2" hidden="1">Fcast_TO!$K$35</definedName>
    <definedName name="BPM_TC_3" hidden="1">Fcast_TO!$H$26</definedName>
    <definedName name="BPM_TC_4" hidden="1">Op_Formula_P_MS!$G$12</definedName>
    <definedName name="CA_Alt_Chks">Checks_BO!$K$62:$K$63</definedName>
    <definedName name="CA_Alt_Chks_Area_Names">Checks_BO!$D$62:$D$63</definedName>
    <definedName name="CA_Alt_Chks_Flags">Checks_BO!$M$62:$M$63</definedName>
    <definedName name="CA_Alt_Chks_Inc">Checks_BO!$L$62:$L$63</definedName>
    <definedName name="CA_Err_Chks">Checks_BO!$K$20:$K$28</definedName>
    <definedName name="CA_Err_Chks_Area_Names">Checks_BO!$D$20:$D$28</definedName>
    <definedName name="CA_Err_Chks_Flags">Checks_BO!$M$20:$M$28</definedName>
    <definedName name="CA_Err_Chks_Inc">Checks_BO!$L$20:$L$28</definedName>
    <definedName name="CA_Sens_Chks">Checks_BO!$K$45:$K$45</definedName>
    <definedName name="CA_Sens_Chks_Area_Names">Checks_BO!$D$45:$D$45</definedName>
    <definedName name="CA_Sens_Chks_Flags">Checks_BO!$M$45:$M$45</definedName>
    <definedName name="CA_Sens_Chks_Inc">Checks_BO!$L$45:$L$45</definedName>
    <definedName name="CB_Alt_Chks_Show_Msg">Checks_BO!$C$51</definedName>
    <definedName name="CB_Eq_Ord_Cash_Limit_Div">Fcast_TA!$E$91</definedName>
    <definedName name="CB_Eq_Ord_Inc_Open_RP_In_NPAT">Fcast_TA!$E$90</definedName>
    <definedName name="CB_Err_Chks_Show_Msg">Checks_BO!$C$9</definedName>
    <definedName name="CB_Sens_Chks_Show_Msg">Checks_BO!$C$35</definedName>
    <definedName name="CB_TS_Show_Hist_Fcast_Pers">TS_BA!$J$31</definedName>
    <definedName name="Currency">TS_LU!$D$66</definedName>
    <definedName name="DD_Eq_Ord_Div_Meth">Fcast_TA!$J$84</definedName>
    <definedName name="DD_TS_Data_Term_Basis">TS_BA!$J$40</definedName>
    <definedName name="DD_TS_Denom">TS_BA!$J$26</definedName>
    <definedName name="DD_TS_Fin_YE_Day">TS_BA!$J$13</definedName>
    <definedName name="DD_TS_Fin_YE_Mth">TS_BA!$K$13</definedName>
    <definedName name="Err_Chk_1_Hdg" hidden="1">Fcast_TA!$B$29</definedName>
    <definedName name="Err_Chk_10_Hdg" hidden="1">Fcast_TO!$B$157</definedName>
    <definedName name="Err_Chk_11_Hdg" hidden="1">IS_TO!$B$1</definedName>
    <definedName name="Err_Chk_13_Hdg" hidden="1">BS_TO!$B$1</definedName>
    <definedName name="Err_Chk_14_Hdg" hidden="1">CFS_TO!$B$1</definedName>
    <definedName name="Err_Chk_15_Hdg" hidden="1">Fcast_TO!$C$117</definedName>
    <definedName name="Err_Chk_2_Hdg" hidden="1">Fcast_TO!$C$27</definedName>
    <definedName name="Err_Chk_3_Hdg" hidden="1">Fcast_TO!$C$44</definedName>
    <definedName name="Err_Chk_4_Hdg" hidden="1">Fcast_TO!$C$64</definedName>
    <definedName name="Err_Chk_5_Hdg" hidden="1">Fcast_TO!$C$76</definedName>
    <definedName name="Err_Chks_Msg">Checks_BO!$I$14</definedName>
    <definedName name="Err_Chks_Ttl_Areas">Checks_BO!$M$30</definedName>
    <definedName name="Half_Yr_Name">TS_LU!$D$86</definedName>
    <definedName name="Halves_In_Yr">TS_LU!$D$94</definedName>
    <definedName name="HL_Alt_Chk">Checks_BO!$B$49</definedName>
    <definedName name="HL_Alt_Chk_14" hidden="1">BS_TO!$I$73</definedName>
    <definedName name="HL_Alt_Chk_15" hidden="1">Fcast_TO!$I$155</definedName>
    <definedName name="HL_Err_Chk">Checks_BO!$B$7</definedName>
    <definedName name="HL_Err_Chk_1" hidden="1">Fcast_TA!$I$34</definedName>
    <definedName name="HL_Err_Chk_11" hidden="1">IS_TO!$I$41</definedName>
    <definedName name="HL_Err_Chk_13" hidden="1">BS_TO!$I$71</definedName>
    <definedName name="HL_Err_Chk_14" hidden="1">CFS_TO!$I$111</definedName>
    <definedName name="HL_Err_Chk_15" hidden="1">Fcast_TO!$I$136</definedName>
    <definedName name="HL_Err_Chk_2" hidden="1">Fcast_TO!$I$42</definedName>
    <definedName name="HL_Err_Chk_3" hidden="1">Fcast_TO!$I$59</definedName>
    <definedName name="HL_Err_Chk_4" hidden="1">Fcast_TO!$I$74</definedName>
    <definedName name="HL_Err_Chk_5" hidden="1">Fcast_TO!$I$86</definedName>
    <definedName name="HL_Home">Contents!$B$1</definedName>
    <definedName name="HL_Sens_Chk">Checks_BO!$B$33</definedName>
    <definedName name="HL_Sheet_Main" hidden="1">Notes_BO!$A$1</definedName>
    <definedName name="HL_Sheet_Main_10" hidden="1">TS_BA!$A$1</definedName>
    <definedName name="HL_Sheet_Main_11" hidden="1">Assumptions_SC!$A$1</definedName>
    <definedName name="HL_Sheet_Main_12" hidden="1">Fcast_TA!$A$1</definedName>
    <definedName name="HL_Sheet_Main_13" hidden="1">Checks_SSC!$A$1</definedName>
    <definedName name="HL_Sheet_Main_14" hidden="1">Checks_BO!$A$1</definedName>
    <definedName name="HL_Sheet_Main_15" hidden="1">Fcast_OP_SSC!$A$1</definedName>
    <definedName name="HL_Sheet_Main_16" hidden="1">Base_OP_SC!$A$1</definedName>
    <definedName name="HL_Sheet_Main_17" hidden="1">Fcast_TO!$A$1</definedName>
    <definedName name="HL_Sheet_Main_18" hidden="1">FS_OP_SSC!$A$1</definedName>
    <definedName name="HL_Sheet_Main_19" hidden="1">BS_Sum_P_MS!$A$1</definedName>
    <definedName name="HL_Sheet_Main_2" hidden="1">Overview_SC!$A$1</definedName>
    <definedName name="HL_Sheet_Main_20" hidden="1">Dashboards_SSC!$A$1</definedName>
    <definedName name="HL_Sheet_Main_24" hidden="1">Contents!$A$1</definedName>
    <definedName name="HL_Sheet_Main_25" hidden="1">Cover!$A$1</definedName>
    <definedName name="HL_Sheet_Main_27" hidden="1">Dashboards_LU!$A$1</definedName>
    <definedName name="HL_Sheet_Main_3" hidden="1">Notes_SSC!$A$1</definedName>
    <definedName name="HL_Sheet_Main_35" hidden="1">IS_TO!$A$1</definedName>
    <definedName name="HL_Sheet_Main_36" hidden="1">BS_TO!$A$1</definedName>
    <definedName name="HL_Sheet_Main_37" hidden="1">CFS_TO!$A$1</definedName>
    <definedName name="HL_Sheet_Main_39" hidden="1">Appendices_SC!$A$1</definedName>
    <definedName name="HL_Sheet_Main_4" hidden="1">TS_Ass_SSC!$A$1</definedName>
    <definedName name="HL_Sheet_Main_40" hidden="1">LU_SSC!$A$1</definedName>
    <definedName name="HL_Sheet_Main_42" hidden="1">Capital_LU!$A$1</definedName>
    <definedName name="HL_Sheet_Main_5" hidden="1">Fcast_Ass_SSC!$A$1</definedName>
    <definedName name="HL_Sheet_Main_6" hidden="1">Keys_SSC!$A$1</definedName>
    <definedName name="HL_Sheet_Main_7" hidden="1">Keys_BO!$A$1</definedName>
    <definedName name="HL_Sheet_Main_8" hidden="1">Op_Formula_P_MS!$A$1</definedName>
    <definedName name="HL_Sheet_Main_9" hidden="1">TS_LU!$A$1</definedName>
    <definedName name="HL_TOC_1" hidden="1">Keys_BO!$B$7</definedName>
    <definedName name="HL_TOC_10" hidden="1">Fcast_TA!$B$41</definedName>
    <definedName name="HL_TOC_11" hidden="1">Fcast_TA!$B$50</definedName>
    <definedName name="HL_TOC_12" hidden="1">Fcast_TA!$B$98</definedName>
    <definedName name="HL_TOC_13" hidden="1">Fcast_TA!$B$115</definedName>
    <definedName name="HL_TOC_14" hidden="1">CFS_TO!$B$89</definedName>
    <definedName name="HL_TOC_15" hidden="1">Fcast_TO!$B$89</definedName>
    <definedName name="HL_TOC_16" hidden="1">Fcast_TO!$B$183</definedName>
    <definedName name="HL_TOC_17" hidden="1">Fcast_TO!$B$62</definedName>
    <definedName name="HL_TOC_2" hidden="1">Keys_BO!$B$54</definedName>
    <definedName name="HL_TOC_21" hidden="1">Fcast_TO!$B$16</definedName>
    <definedName name="HL_TOC_24" hidden="1">Fcast_TO!$B$25</definedName>
    <definedName name="HL_TOC_3" hidden="1">Keys_BO!$B$106</definedName>
    <definedName name="HL_TOC_32" hidden="1">Fcast_TO!$B$157</definedName>
    <definedName name="HL_TOC_35" hidden="1">CFS_TO!$B$16</definedName>
    <definedName name="HL_TOC_36" hidden="1">CFS_TO!$B$53</definedName>
    <definedName name="HL_TOC_4" hidden="1">TS_LU!$B$7</definedName>
    <definedName name="HL_TOC_5" hidden="1">Fcast_TA!$B$16</definedName>
    <definedName name="HL_TOC_6" hidden="1">Checks_BO!$B$7</definedName>
    <definedName name="HL_TOC_7" hidden="1">Checks_BO!$B$33</definedName>
    <definedName name="HL_TOC_8" hidden="1">Checks_BO!$B$49</definedName>
    <definedName name="HL_TOC_9" hidden="1">Fcast_TA!$B$29</definedName>
    <definedName name="Hundred">TS_LU!$D$102</definedName>
    <definedName name="LI_Tax_Base_Nom_Opex_Base_Nom_Cat_1">Fcast_TO!$I$163</definedName>
    <definedName name="LO_BS_Base_Nom_OP_Cash_Open">BS_TO!$I$20</definedName>
    <definedName name="LU_Dashboard_Selected_Period">Dashboards_LU!$D$12:$D$19</definedName>
    <definedName name="LU_Data_Term_Basis">TS_LU!$D$71:$D$72</definedName>
    <definedName name="LU_Denom">TS_LU!$D$63:$D$66</definedName>
    <definedName name="LU_Eq_Ord_Div_Meth">Capital_LU!$D$12:$D$13</definedName>
    <definedName name="LU_Mth_Days">TS_LU!$D$12:$D$42</definedName>
    <definedName name="LU_Mth_Names">TS_LU!$D$47:$D$58</definedName>
    <definedName name="LU_Period_Type_Names">TS_LU!$D$85:$D$88</definedName>
    <definedName name="LU_Periodicity">TS_LU!$D$77:$D$80</definedName>
    <definedName name="LU_Pers_In_Yr">TS_LU!$D$93:$D$96</definedName>
    <definedName name="Million">TS_LU!$D$104</definedName>
    <definedName name="Millions">TS_LU!$D$64</definedName>
    <definedName name="Model_Name">Cover!$C$10</definedName>
    <definedName name="Mth_Name">TS_LU!$D$88</definedName>
    <definedName name="Mthly">TS_LU!$D$80</definedName>
    <definedName name="Mths_In_Yr">TS_LU!$D$96</definedName>
    <definedName name="_xlnm.Print_Area" localSheetId="22">Appendices_SC!$B$1:$N$30</definedName>
    <definedName name="_xlnm.Print_Area" localSheetId="8">Assumptions_SC!$B$1:$N$30</definedName>
    <definedName name="_xlnm.Print_Area" localSheetId="13">Base_OP_SC!$B$1:$N$30</definedName>
    <definedName name="_xlnm.Print_Area" localSheetId="21">BS_Sum_P_MS!$B$1:$AN$64</definedName>
    <definedName name="_xlnm.Print_Area" localSheetId="18">BS_TO!$B$1:$Q$76</definedName>
    <definedName name="_xlnm.Print_Area" localSheetId="27">Capital_LU!$B$1:$G$13</definedName>
    <definedName name="_xlnm.Print_Area" localSheetId="19">CFS_TO!$B$1:$Q$117</definedName>
    <definedName name="_xlnm.Print_Area" localSheetId="24">Checks_BO!$B$1:$M$65</definedName>
    <definedName name="_xlnm.Print_Area" localSheetId="23">Checks_SSC!$B$1:$N$30</definedName>
    <definedName name="_xlnm.Print_Area" localSheetId="1">Contents!$B$1:$Q$57</definedName>
    <definedName name="_xlnm.Print_Area" localSheetId="0">Cover!$B$1:$N$32</definedName>
    <definedName name="_xlnm.Print_Area" localSheetId="28">Dashboards_LU!$B$1:$G$19</definedName>
    <definedName name="_xlnm.Print_Area" localSheetId="20">Dashboards_SSC!$B$1:$N$30</definedName>
    <definedName name="_xlnm.Print_Area" localSheetId="11">Fcast_Ass_SSC!$B$1:$N$30</definedName>
    <definedName name="_xlnm.Print_Area" localSheetId="14">Fcast_OP_SSC!$B$1:$N$30</definedName>
    <definedName name="_xlnm.Print_Area" localSheetId="12">Fcast_TA!$B$1:$Q$133</definedName>
    <definedName name="_xlnm.Print_Area" localSheetId="15">Fcast_TO!$B$1:$Q$207</definedName>
    <definedName name="_xlnm.Print_Area" localSheetId="16">FS_OP_SSC!$B$1:$N$30</definedName>
    <definedName name="_xlnm.Print_Area" localSheetId="17">IS_TO!$B$1:$Q$46</definedName>
    <definedName name="_xlnm.Print_Area" localSheetId="7">Keys_BO!$B$1:$N$137</definedName>
    <definedName name="_xlnm.Print_Area" localSheetId="6">Keys_SSC!$B$1:$N$30</definedName>
    <definedName name="_xlnm.Print_Area" localSheetId="25">LU_SSC!$B$1:$N$30</definedName>
    <definedName name="_xlnm.Print_Area" localSheetId="4">Notes_BO!$B$1:$M$44</definedName>
    <definedName name="_xlnm.Print_Area" localSheetId="3">Notes_SSC!$B$1:$N$30</definedName>
    <definedName name="_xlnm.Print_Area" localSheetId="5">Op_Formula_P_MS!$B$1:$P$48</definedName>
    <definedName name="_xlnm.Print_Area" localSheetId="2">Overview_SC!$B$1:$N$30</definedName>
    <definedName name="_xlnm.Print_Area" localSheetId="9">TS_Ass_SSC!$B$1:$N$30</definedName>
    <definedName name="_xlnm.Print_Area" localSheetId="10">TS_BA!$B$1:$N$66</definedName>
    <definedName name="_xlnm.Print_Area" localSheetId="26">TS_LU!$B$1:$G$105</definedName>
    <definedName name="_xlnm.Print_Titles" localSheetId="18">BS_TO!$1:$15</definedName>
    <definedName name="_xlnm.Print_Titles" localSheetId="19">CFS_TO!$1:$15</definedName>
    <definedName name="_xlnm.Print_Titles" localSheetId="24">Checks_BO!$1:$6</definedName>
    <definedName name="_xlnm.Print_Titles" localSheetId="1">Contents!$1:$7</definedName>
    <definedName name="_xlnm.Print_Titles" localSheetId="12">Fcast_TA!$1:$15</definedName>
    <definedName name="_xlnm.Print_Titles" localSheetId="15">Fcast_TO!$1:$15</definedName>
    <definedName name="_xlnm.Print_Titles" localSheetId="17">IS_TO!$1:$15</definedName>
    <definedName name="_xlnm.Print_Titles" localSheetId="7">Keys_BO!$1:$6</definedName>
    <definedName name="_xlnm.Print_Titles" localSheetId="4">Notes_BO!$1:$6</definedName>
    <definedName name="_xlnm.Print_Titles" localSheetId="10">TS_BA!$1:$6</definedName>
    <definedName name="_xlnm.Print_Titles" localSheetId="26">TS_LU!$1:$8</definedName>
    <definedName name="Qtr_Name">TS_LU!$D$87</definedName>
    <definedName name="Qtrly">TS_LU!$D$79</definedName>
    <definedName name="Qtrs_In_Yr">TS_LU!$D$95</definedName>
    <definedName name="RA_TS_Ass_Actual_Per_Title" hidden="1">TS_BA!$34:$34</definedName>
    <definedName name="RA_TS_Ass_Actual_Pers" hidden="1">TS_BA!$32:$32</definedName>
    <definedName name="RA_TS_Ass_Budget_Per_Title" hidden="1">TS_BA!$35:$35</definedName>
    <definedName name="RA_TS_Ass_Budget_Pers" hidden="1">TS_BA!$33:$33</definedName>
    <definedName name="RA_TS_Ass_Core_Fin_YE" hidden="1">TS_BA!$13:$13</definedName>
    <definedName name="RA_TS_Ass_Core_Main_Ass_Hdg" hidden="1">TS_BA!$9:$9</definedName>
    <definedName name="RA_TS_Ass_Core_Main_Ass_Hdg_Spacer" hidden="1">TS_BA!$8:$8</definedName>
    <definedName name="RA_TS_Ass_Core_Main_Ass_Spacer" hidden="1">TS_BA!$10:$10</definedName>
    <definedName name="RA_TS_Ass_Core_Main_Hdg" hidden="1">TS_BA!$7:$7</definedName>
    <definedName name="RA_TS_Ass_Core_Main_Hdg_Spacer1" hidden="1">TS_BA!$5:$5</definedName>
    <definedName name="RA_TS_Ass_Core_Main_Hdg_Spacer2" hidden="1">TS_BA!$6:$6</definedName>
    <definedName name="RA_TS_Ass_Data_Ass_Spacer" hidden="1">TS_BA!$45:$45</definedName>
    <definedName name="RA_TS_Ass_Data_End_Date" hidden="1">TS_BA!$46:$46</definedName>
    <definedName name="RA_TS_Ass_Data_Final_Stub" hidden="1">TS_BA!$49:$49</definedName>
    <definedName name="RA_TS_Ass_Data_Full_Pers" hidden="1">TS_BA!$48:$48</definedName>
    <definedName name="RA_TS_Ass_Data_Hdg" hidden="1">TS_BA!$44:$44</definedName>
    <definedName name="RA_TS_Ass_Data_Hdg_Spacer" hidden="1">TS_BA!$43:$43</definedName>
    <definedName name="RA_TS_Ass_Data_Pers_Ass" hidden="1">TS_BA!$41:$41</definedName>
    <definedName name="RA_TS_Ass_Data_Proj_Ass_Spacer" hidden="1">TS_BA!$39:$39</definedName>
    <definedName name="RA_TS_Ass_Data_Proj_Hdg" hidden="1">TS_BA!$38:$38</definedName>
    <definedName name="RA_TS_Ass_Data_Proj_Hdg_Spacer" hidden="1">TS_BA!$37:$37</definedName>
    <definedName name="RA_TS_Ass_Data_Term_Basis" hidden="1">TS_BA!$40:$40</definedName>
    <definedName name="RA_TS_Ass_Data_Total_Pers" hidden="1">TS_BA!$47:$47</definedName>
    <definedName name="RA_TS_Ass_Denom" hidden="1">TS_BA!$26:$26</definedName>
    <definedName name="RA_TS_Ass_Denom_Label" hidden="1">TS_BA!$27:$27</definedName>
    <definedName name="RA_TS_Ass_Fcast_Per_Title" hidden="1">TS_BA!$36:$36</definedName>
    <definedName name="RA_TS_Ass_Hist_Fcast_Ass_Spacer" hidden="1">TS_BA!$30:$30</definedName>
    <definedName name="RA_TS_Ass_Hist_Fcast_Hdg" hidden="1">TS_BA!$29:$29</definedName>
    <definedName name="RA_TS_Ass_Hist_Fcast_Hdg_Spacer" hidden="1">TS_BA!$28:$28</definedName>
    <definedName name="RA_TS_Ass_Mth_End" hidden="1">TS_BA!$18:$18</definedName>
    <definedName name="RA_TS_Ass_Mths_In_Per" hidden="1">TS_BA!$22:$22</definedName>
    <definedName name="RA_TS_Ass_Note_Budget_Per" hidden="1">TS_BA!$63:$63</definedName>
    <definedName name="RA_TS_Ass_Note_Data_Proj_Timing" hidden="1">TS_BA!$64:$64</definedName>
    <definedName name="RA_TS_Ass_Note_Denom" hidden="1">TS_BA!$62:$62</definedName>
    <definedName name="RA_TS_Ass_Note_Fin_YE" hidden="1">TS_BA!$61:$61</definedName>
    <definedName name="RA_TS_Ass_Note_Inactive_Cols_Treat" hidden="1">TS_BA!$65:$65</definedName>
    <definedName name="RA_TS_Ass_Notes_Hdg" hidden="1">TS_BA!$60:$60</definedName>
    <definedName name="RA_TS_Ass_Notes_Hdg_Spacer" hidden="1">TS_BA!$59:$59</definedName>
    <definedName name="RA_TS_Ass_Per_1_End_Date" hidden="1">TS_BA!$25:$25</definedName>
    <definedName name="RA_TS_Ass_Per_1_FY_End_Date" hidden="1">TS_BA!$20:$20</definedName>
    <definedName name="RA_TS_Ass_Per_1_FY_Start_Date" hidden="1">TS_BA!$19:$19</definedName>
    <definedName name="RA_TS_Ass_Per_1_Number" hidden="1">TS_BA!$23:$23</definedName>
    <definedName name="RA_TS_Ass_Per_1_Start_Date" hidden="1">TS_BA!$24:$24</definedName>
    <definedName name="RA_TS_Ass_Per_Type_Name" hidden="1">TS_BA!$16:$16</definedName>
    <definedName name="RA_TS_Ass_Per_Type_Prefix" hidden="1">TS_BA!$17:$17</definedName>
    <definedName name="RA_TS_Ass_Periodicity" hidden="1">TS_BA!$12:$12</definedName>
    <definedName name="RA_TS_Ass_Pers_In_Yr" hidden="1">TS_BA!$21:$21</definedName>
    <definedName name="RA_TS_Ass_Proj_Ass_Spacer" hidden="1">TS_BA!$52:$52</definedName>
    <definedName name="RA_TS_Ass_Proj_Hdg" hidden="1">TS_BA!$51:$51</definedName>
    <definedName name="RA_TS_Ass_Proj_Hdg_Spacer" hidden="1">TS_BA!$50:$50</definedName>
    <definedName name="RA_TS_Ass_Proj_Per_1_End_Date" hidden="1">TS_BA!$58:$58</definedName>
    <definedName name="RA_TS_Ass_Proj_Per_1_FY_End_Date" hidden="1">TS_BA!$55:$55</definedName>
    <definedName name="RA_TS_Ass_Proj_Per_1_FY_Start_Date" hidden="1">TS_BA!$54:$54</definedName>
    <definedName name="RA_TS_Ass_Proj_Per_1_Number" hidden="1">TS_BA!$56:$56</definedName>
    <definedName name="RA_TS_Ass_Proj_Per_1_Start_Date" hidden="1">TS_BA!$57:$57</definedName>
    <definedName name="RA_TS_Ass_Proj_Start_Date" hidden="1">TS_BA!$53:$53</definedName>
    <definedName name="RA_TS_Ass_Proj_Start_Date_Ass" hidden="1">TS_BA!$42:$42</definedName>
    <definedName name="RA_TS_Ass_Show_Hist_Fcast_Pers" hidden="1">TS_BA!$31:$31</definedName>
    <definedName name="RA_TS_Ass_Start_Date" hidden="1">TS_BA!$14:$14</definedName>
    <definedName name="RA_TS_Ass_Std_Pers" hidden="1">TS_BA!$15:$15</definedName>
    <definedName name="RA_TS_Ass_Title" hidden="1">TS_BA!$11:$11</definedName>
    <definedName name="Semi_Annual">TS_LU!$D$78</definedName>
    <definedName name="Sens_Chks_Msg">Checks_BO!$I$40</definedName>
    <definedName name="Sens_Chks_Ttl_Areas">Checks_BO!$M$46</definedName>
    <definedName name="TBXBST" localSheetId="22" hidden="1">"|B|SC|B|"</definedName>
    <definedName name="TBXBST" localSheetId="8" hidden="1">"|B|SC|B|"</definedName>
    <definedName name="TBXBST" localSheetId="13" hidden="1">"|B|SC|B|"</definedName>
    <definedName name="TBXBST" localSheetId="21" hidden="1">"|B|MS|B||P|"</definedName>
    <definedName name="TBXBST" localSheetId="18" hidden="1">"|B|TO|B||T|All|T||N|1|N||FTSCN|10|FTSCN||TSP|10|TSP|"</definedName>
    <definedName name="TBXBST" localSheetId="27" hidden="1">"|B|LU|B|"</definedName>
    <definedName name="TBXBST" localSheetId="19" hidden="1">"|B|TO|B||T|All|T||N|1|N||FTSCN|10|FTSCN||TSP|10|TSP|"</definedName>
    <definedName name="TBXBST" localSheetId="24" hidden="1">"|B|BO|B|"</definedName>
    <definedName name="TBXBST" localSheetId="23" hidden="1">"|B|SSC|B|"</definedName>
    <definedName name="TBXBST" localSheetId="1" hidden="1">"|B|Contents|B|"</definedName>
    <definedName name="TBXBST" localSheetId="0" hidden="1">"|B|Cover|B|"</definedName>
    <definedName name="TBXBST" localSheetId="28" hidden="1">"|B|LU|B|"</definedName>
    <definedName name="TBXBST" localSheetId="20" hidden="1">"|B|SSC|B|"</definedName>
    <definedName name="TBXBST" localSheetId="11" hidden="1">"|B|SSC|B|"</definedName>
    <definedName name="TBXBST" localSheetId="14" hidden="1">"|B|SSC|B|"</definedName>
    <definedName name="TBXBST" localSheetId="12" hidden="1">"|B|TA|B||T|All|T||N|1|N||FTSCN|10|FTSCN||TSP|10|TSP|"</definedName>
    <definedName name="TBXBST" localSheetId="15" hidden="1">"|B|TO|B||T|All|T||N|1|N||FTSCN|10|FTSCN||TSP|10|TSP|"</definedName>
    <definedName name="TBXBST" localSheetId="16" hidden="1">"|B|SSC|B|"</definedName>
    <definedName name="TBXBST" localSheetId="17" hidden="1">"|B|TO|B||T|All|T||N|1|N||FTSCN|10|FTSCN||TSP|10|TSP|"</definedName>
    <definedName name="TBXBST" localSheetId="7" hidden="1">"|B|BO|B|"</definedName>
    <definedName name="TBXBST" localSheetId="6" hidden="1">"|B|SSC|B|"</definedName>
    <definedName name="TBXBST" localSheetId="25" hidden="1">"|B|SSC|B|"</definedName>
    <definedName name="TBXBST" localSheetId="4" hidden="1">"|B|BO|B|"</definedName>
    <definedName name="TBXBST" localSheetId="3" hidden="1">"|B|SSC|B|"</definedName>
    <definedName name="TBXBST" localSheetId="5" hidden="1">"|B|MS|B||P|"</definedName>
    <definedName name="TBXBST" localSheetId="2" hidden="1">"|B|SC|B|"</definedName>
    <definedName name="TBXBST" localSheetId="9" hidden="1">"|B|SSC|B|"</definedName>
    <definedName name="TBXBST" localSheetId="10" hidden="1">"|B|BA|B|"</definedName>
    <definedName name="TBXBST" localSheetId="26" hidden="1">"|B|LU|B|"</definedName>
    <definedName name="Ten">TS_LU!$D$101</definedName>
    <definedName name="Thousand">TS_LU!$D$103</definedName>
    <definedName name="Thousands">TS_LU!$D$65</definedName>
    <definedName name="TOC_Hdg_1" hidden="1">Keys_BO!$B$7</definedName>
    <definedName name="TOC_Hdg_10" hidden="1">Fcast_TA!$B$41</definedName>
    <definedName name="TOC_Hdg_11" hidden="1">Fcast_TA!$B$50</definedName>
    <definedName name="TOC_Hdg_12" hidden="1">Fcast_TA!$B$98</definedName>
    <definedName name="TOC_Hdg_13" hidden="1">Fcast_TA!$B$115</definedName>
    <definedName name="TOC_Hdg_14" hidden="1">CFS_TO!$B$89</definedName>
    <definedName name="TOC_Hdg_15" hidden="1">Fcast_TO!$B$89</definedName>
    <definedName name="TOC_Hdg_16" hidden="1">Fcast_TO!$B$183</definedName>
    <definedName name="TOC_Hdg_17" hidden="1">Fcast_TO!$B$62</definedName>
    <definedName name="TOC_Hdg_2" hidden="1">Keys_BO!$B$54</definedName>
    <definedName name="TOC_Hdg_21" hidden="1">Fcast_TO!$B$16</definedName>
    <definedName name="TOC_Hdg_24" hidden="1">Fcast_TO!$B$25</definedName>
    <definedName name="TOC_Hdg_3" hidden="1">Keys_BO!$B$106</definedName>
    <definedName name="TOC_Hdg_32" hidden="1">Fcast_TO!$B$157</definedName>
    <definedName name="TOC_Hdg_35" hidden="1">CFS_TO!$B$16</definedName>
    <definedName name="TOC_Hdg_36" hidden="1">CFS_TO!$B$53</definedName>
    <definedName name="TOC_Hdg_4" hidden="1">TS_LU!$B$7</definedName>
    <definedName name="TOC_Hdg_5" hidden="1">Fcast_TA!$B$16</definedName>
    <definedName name="TOC_Hdg_6" hidden="1">Checks_BO!$B$7</definedName>
    <definedName name="TOC_Hdg_7" hidden="1">Checks_BO!$B$33</definedName>
    <definedName name="TOC_Hdg_8" hidden="1">Checks_BO!$B$49</definedName>
    <definedName name="TOC_Hdg_9" hidden="1">Fcast_TA!$B$29</definedName>
    <definedName name="TS">TS_BA!$J$65</definedName>
    <definedName name="TS_Actual_Per_Title">TS_BA!$J$34</definedName>
    <definedName name="TS_Actual_Pers">TS_BA!$J$32</definedName>
    <definedName name="TS_Budget_Per_Title">TS_BA!$J$35</definedName>
    <definedName name="TS_Budget_Pers">TS_BA!$J$33</definedName>
    <definedName name="TS_Data_End_Date">TS_BA!$J$46</definedName>
    <definedName name="TS_Data_Final_Stub">TS_BA!$J$49</definedName>
    <definedName name="TS_Data_Full_Pers">TS_BA!$J$48</definedName>
    <definedName name="TS_Data_Pers_Ass">TS_BA!$J$41</definedName>
    <definedName name="TS_Data_Total_Pers">TS_BA!$J$47</definedName>
    <definedName name="TS_Denom_Label">TS_BA!$J$27</definedName>
    <definedName name="TS_Fcast_Per_Title">TS_BA!$J$36</definedName>
    <definedName name="TS_Mth_End">TS_BA!$J$18</definedName>
    <definedName name="TS_Mths_In_Per">TS_BA!$J$22</definedName>
    <definedName name="TS_Per_1_End_Date">TS_BA!$J$25</definedName>
    <definedName name="TS_Per_1_FY_End_Date">TS_BA!$J$20</definedName>
    <definedName name="TS_Per_1_FY_Start_Date">TS_BA!$J$19</definedName>
    <definedName name="TS_Per_1_Number">TS_BA!$J$23</definedName>
    <definedName name="TS_Per_1_Start_Date">TS_BA!$J$24</definedName>
    <definedName name="TS_Per_Type_Name">TS_BA!$J$16</definedName>
    <definedName name="TS_Per_Type_Prefix">TS_BA!$J$17</definedName>
    <definedName name="TS_Periodicity">TS_BA!$J$12</definedName>
    <definedName name="TS_Pers_In_Yr">TS_BA!$J$21</definedName>
    <definedName name="TS_Proj_Per_1_End_Date">TS_BA!$J$58</definedName>
    <definedName name="TS_Proj_Per_1_FY_End_Date">TS_BA!$J$55</definedName>
    <definedName name="TS_Proj_Per_1_FY_Start_Date">TS_BA!$J$54</definedName>
    <definedName name="TS_Proj_Per_1_Number">TS_BA!$J$56</definedName>
    <definedName name="TS_Proj_Per_1_Start_Date">TS_BA!$J$57</definedName>
    <definedName name="TS_Proj_Start_Date">TS_BA!$J$53</definedName>
    <definedName name="TS_Proj_Start_Date_Ass">TS_BA!$J$42</definedName>
    <definedName name="TS_Start_Date">TS_BA!$J$14</definedName>
    <definedName name="TS_Std_Pers">TS_BA!$J$15</definedName>
    <definedName name="TS_Title">TS_BA!$J$11</definedName>
    <definedName name="Yr_Name">TS_LU!$D$85</definedName>
    <definedName name="Yrs_In_Yr">TS_LU!$D$93</definedName>
  </definedNames>
  <calcPr calcId="125725"/>
</workbook>
</file>

<file path=xl/calcChain.xml><?xml version="1.0" encoding="utf-8"?>
<calcChain xmlns="http://schemas.openxmlformats.org/spreadsheetml/2006/main">
  <c r="H55" i="176"/>
  <c r="H54"/>
  <c r="H53"/>
  <c r="F52"/>
  <c r="I51"/>
  <c r="I50"/>
  <c r="I49"/>
  <c r="H48"/>
  <c r="F47"/>
  <c r="D46"/>
  <c r="H45"/>
  <c r="F44"/>
  <c r="I43"/>
  <c r="I42"/>
  <c r="I41"/>
  <c r="H40"/>
  <c r="H39"/>
  <c r="H38"/>
  <c r="F37"/>
  <c r="I36"/>
  <c r="I35"/>
  <c r="I34"/>
  <c r="I33"/>
  <c r="I32"/>
  <c r="I31"/>
  <c r="H30"/>
  <c r="F29"/>
  <c r="D28"/>
  <c r="I27"/>
  <c r="I26"/>
  <c r="I25"/>
  <c r="I24"/>
  <c r="I23"/>
  <c r="I22"/>
  <c r="H21"/>
  <c r="F20"/>
  <c r="H19"/>
  <c r="F18"/>
  <c r="D17"/>
  <c r="I16"/>
  <c r="I15"/>
  <c r="I14"/>
  <c r="H13"/>
  <c r="F12"/>
  <c r="H11"/>
  <c r="H10"/>
  <c r="F9"/>
  <c r="D8"/>
  <c r="D63" i="135"/>
  <c r="D62"/>
  <c r="D28"/>
  <c r="D27"/>
  <c r="D26"/>
  <c r="D25"/>
  <c r="D20"/>
  <c r="I40" i="189"/>
  <c r="F40"/>
  <c r="G40" s="1"/>
  <c r="L48"/>
  <c r="M48" s="1"/>
  <c r="L44"/>
  <c r="M44" s="1"/>
  <c r="I44"/>
  <c r="J44" s="1"/>
  <c r="J40"/>
  <c r="F36"/>
  <c r="G36" s="1"/>
  <c r="I32"/>
  <c r="J32" s="1"/>
  <c r="F26"/>
  <c r="I30" s="1"/>
  <c r="P20"/>
  <c r="K36" i="138"/>
  <c r="L36"/>
  <c r="M36"/>
  <c r="N36"/>
  <c r="O36"/>
  <c r="P36"/>
  <c r="Q36"/>
  <c r="K53"/>
  <c r="L53"/>
  <c r="M53"/>
  <c r="N53"/>
  <c r="O53"/>
  <c r="P53"/>
  <c r="Q53"/>
  <c r="K68"/>
  <c r="L68"/>
  <c r="M68"/>
  <c r="N68"/>
  <c r="O68"/>
  <c r="P68"/>
  <c r="Q68"/>
  <c r="K80"/>
  <c r="L80"/>
  <c r="M80"/>
  <c r="N80"/>
  <c r="O80"/>
  <c r="P80"/>
  <c r="Q80"/>
  <c r="K96"/>
  <c r="L96"/>
  <c r="M96"/>
  <c r="N96"/>
  <c r="O96"/>
  <c r="P96"/>
  <c r="Q96"/>
  <c r="K97"/>
  <c r="L97"/>
  <c r="M97"/>
  <c r="N97"/>
  <c r="O97"/>
  <c r="P97"/>
  <c r="Q97"/>
  <c r="K102"/>
  <c r="L102"/>
  <c r="M102"/>
  <c r="N102"/>
  <c r="O102"/>
  <c r="P102"/>
  <c r="Q102"/>
  <c r="K103"/>
  <c r="L103"/>
  <c r="M103"/>
  <c r="M104" s="1"/>
  <c r="N103"/>
  <c r="O103"/>
  <c r="P103"/>
  <c r="Q103"/>
  <c r="K108"/>
  <c r="L108"/>
  <c r="M108"/>
  <c r="N108"/>
  <c r="O108"/>
  <c r="P108"/>
  <c r="Q108"/>
  <c r="K122"/>
  <c r="L122"/>
  <c r="M122"/>
  <c r="N122"/>
  <c r="O122"/>
  <c r="P122"/>
  <c r="Q122"/>
  <c r="K123"/>
  <c r="L123"/>
  <c r="M123"/>
  <c r="N123"/>
  <c r="O123"/>
  <c r="P123"/>
  <c r="Q123"/>
  <c r="K142"/>
  <c r="K150" s="1"/>
  <c r="L142"/>
  <c r="L150" s="1"/>
  <c r="M142"/>
  <c r="N142"/>
  <c r="N150" s="1"/>
  <c r="O142"/>
  <c r="O150" s="1"/>
  <c r="P142"/>
  <c r="P150" s="1"/>
  <c r="Q142"/>
  <c r="M150"/>
  <c r="Q150"/>
  <c r="M151"/>
  <c r="Q151"/>
  <c r="K171"/>
  <c r="L171"/>
  <c r="M171"/>
  <c r="N171"/>
  <c r="O171"/>
  <c r="P171"/>
  <c r="Q171"/>
  <c r="K189"/>
  <c r="L189"/>
  <c r="M189"/>
  <c r="N189"/>
  <c r="O189"/>
  <c r="P189"/>
  <c r="Q189"/>
  <c r="K195"/>
  <c r="L195"/>
  <c r="M195"/>
  <c r="N195"/>
  <c r="O195"/>
  <c r="P195"/>
  <c r="Q195"/>
  <c r="K201"/>
  <c r="L201"/>
  <c r="M201"/>
  <c r="N201"/>
  <c r="O201"/>
  <c r="P201"/>
  <c r="Q201"/>
  <c r="K207"/>
  <c r="L207"/>
  <c r="M207"/>
  <c r="N207"/>
  <c r="O207"/>
  <c r="P207"/>
  <c r="Q207"/>
  <c r="O151" l="1"/>
  <c r="K151"/>
  <c r="Q104"/>
  <c r="P151"/>
  <c r="N151"/>
  <c r="L151"/>
  <c r="O104"/>
  <c r="K104"/>
  <c r="P104"/>
  <c r="N104"/>
  <c r="L104"/>
  <c r="I26" i="189"/>
  <c r="E129" i="133" l="1"/>
  <c r="D47"/>
  <c r="D25"/>
  <c r="D37"/>
  <c r="AQ34" i="180" l="1"/>
  <c r="B21"/>
  <c r="B19"/>
  <c r="B17"/>
  <c r="B16"/>
  <c r="B15"/>
  <c r="B13"/>
  <c r="D74" i="163"/>
  <c r="D73"/>
  <c r="D66"/>
  <c r="D65"/>
  <c r="D50" i="162"/>
  <c r="D32"/>
  <c r="D43"/>
  <c r="D24"/>
  <c r="Q50"/>
  <c r="P50"/>
  <c r="O50"/>
  <c r="N50"/>
  <c r="M50"/>
  <c r="L50"/>
  <c r="K50"/>
  <c r="Q32"/>
  <c r="P32"/>
  <c r="O32"/>
  <c r="N32"/>
  <c r="M32"/>
  <c r="L32"/>
  <c r="K32"/>
  <c r="Q43"/>
  <c r="P43"/>
  <c r="O43"/>
  <c r="N43"/>
  <c r="M43"/>
  <c r="L43"/>
  <c r="K43"/>
  <c r="Q24"/>
  <c r="P24"/>
  <c r="O24"/>
  <c r="N24"/>
  <c r="M24"/>
  <c r="L24"/>
  <c r="K24"/>
  <c r="J207" i="138"/>
  <c r="J50" i="162" s="1"/>
  <c r="J201" i="138"/>
  <c r="J32" i="162" s="1"/>
  <c r="J195" i="138"/>
  <c r="J43" i="162" s="1"/>
  <c r="C203" i="138"/>
  <c r="C197"/>
  <c r="C191"/>
  <c r="J189"/>
  <c r="J24" i="162" s="1"/>
  <c r="C185" i="138"/>
  <c r="C67" i="162"/>
  <c r="D51"/>
  <c r="D44"/>
  <c r="D33"/>
  <c r="D25"/>
  <c r="C121" i="133"/>
  <c r="C117"/>
  <c r="D47" i="163"/>
  <c r="D83" s="1"/>
  <c r="D28"/>
  <c r="D27"/>
  <c r="D37" i="161"/>
  <c r="B20" i="180" s="1"/>
  <c r="D33" i="161"/>
  <c r="B18" i="180" s="1"/>
  <c r="D178" i="138"/>
  <c r="J171"/>
  <c r="D171"/>
  <c r="D166"/>
  <c r="D165"/>
  <c r="D164"/>
  <c r="C159"/>
  <c r="C100" i="133"/>
  <c r="Q46" i="163"/>
  <c r="Q82" s="1"/>
  <c r="P46"/>
  <c r="P82" s="1"/>
  <c r="O46"/>
  <c r="O82" s="1"/>
  <c r="N46"/>
  <c r="N82" s="1"/>
  <c r="M46"/>
  <c r="M82" s="1"/>
  <c r="L46"/>
  <c r="L82" s="1"/>
  <c r="K46"/>
  <c r="K82" s="1"/>
  <c r="Q45"/>
  <c r="Q81" s="1"/>
  <c r="P45"/>
  <c r="P81" s="1"/>
  <c r="O45"/>
  <c r="O81" s="1"/>
  <c r="N45"/>
  <c r="N81" s="1"/>
  <c r="M45"/>
  <c r="M81" s="1"/>
  <c r="L45"/>
  <c r="L81" s="1"/>
  <c r="K45"/>
  <c r="K81" s="1"/>
  <c r="J123" i="138"/>
  <c r="J46" i="163" s="1"/>
  <c r="J100" s="1"/>
  <c r="J122" i="138"/>
  <c r="J45" i="163" s="1"/>
  <c r="J81" s="1"/>
  <c r="J142" i="138"/>
  <c r="J151" s="1"/>
  <c r="E142"/>
  <c r="J140"/>
  <c r="E140"/>
  <c r="D126"/>
  <c r="E124"/>
  <c r="E123"/>
  <c r="D46" i="163" s="1"/>
  <c r="D82" s="1"/>
  <c r="E122" i="138"/>
  <c r="D45" i="163" s="1"/>
  <c r="D81" s="1"/>
  <c r="E121" i="138"/>
  <c r="D73" i="133"/>
  <c r="D119" i="138" s="1"/>
  <c r="E87" i="133"/>
  <c r="E150" i="138" s="1"/>
  <c r="E88" i="133"/>
  <c r="E151" i="138" s="1"/>
  <c r="J108"/>
  <c r="J103"/>
  <c r="J102"/>
  <c r="Q44" i="163"/>
  <c r="Q80" s="1"/>
  <c r="P44"/>
  <c r="P80" s="1"/>
  <c r="O44"/>
  <c r="O80" s="1"/>
  <c r="N44"/>
  <c r="N80" s="1"/>
  <c r="M44"/>
  <c r="M80" s="1"/>
  <c r="L44"/>
  <c r="L80" s="1"/>
  <c r="K44"/>
  <c r="K80" s="1"/>
  <c r="Q43"/>
  <c r="Q79" s="1"/>
  <c r="P43"/>
  <c r="P79" s="1"/>
  <c r="O43"/>
  <c r="O79" s="1"/>
  <c r="N43"/>
  <c r="N79" s="1"/>
  <c r="M43"/>
  <c r="M79" s="1"/>
  <c r="L43"/>
  <c r="L79" s="1"/>
  <c r="K43"/>
  <c r="K79" s="1"/>
  <c r="J97" i="138"/>
  <c r="J44" i="163" s="1"/>
  <c r="J97" s="1"/>
  <c r="J96" i="138"/>
  <c r="J43" i="163" s="1"/>
  <c r="J79" s="1"/>
  <c r="E95" i="138"/>
  <c r="E96"/>
  <c r="D43" i="163" s="1"/>
  <c r="D79" s="1"/>
  <c r="E97" i="138"/>
  <c r="D44" i="163" s="1"/>
  <c r="D80" s="1"/>
  <c r="E98" i="138"/>
  <c r="D100"/>
  <c r="E102"/>
  <c r="E103"/>
  <c r="E104"/>
  <c r="E108"/>
  <c r="E112"/>
  <c r="E113"/>
  <c r="D54" i="133"/>
  <c r="D93" i="138" s="1"/>
  <c r="J69" i="133"/>
  <c r="K69"/>
  <c r="L69"/>
  <c r="M69"/>
  <c r="N69"/>
  <c r="O69"/>
  <c r="P69"/>
  <c r="Q69"/>
  <c r="J68" i="138"/>
  <c r="J53"/>
  <c r="J36"/>
  <c r="E28" i="161"/>
  <c r="E27"/>
  <c r="J80" i="138"/>
  <c r="C76"/>
  <c r="D24" i="135" s="1"/>
  <c r="C22" i="138"/>
  <c r="D79" s="1"/>
  <c r="C64"/>
  <c r="D23" i="135" s="1"/>
  <c r="C27" i="138"/>
  <c r="D21" i="135" s="1"/>
  <c r="C44" i="138"/>
  <c r="D22" i="135" s="1"/>
  <c r="N58" i="180" l="1"/>
  <c r="O58"/>
  <c r="Q58"/>
  <c r="S58"/>
  <c r="P59"/>
  <c r="R59"/>
  <c r="N59"/>
  <c r="P58"/>
  <c r="R58"/>
  <c r="O59"/>
  <c r="Q59"/>
  <c r="S59"/>
  <c r="J150" i="138"/>
  <c r="D96" i="163"/>
  <c r="J96"/>
  <c r="K96"/>
  <c r="M96"/>
  <c r="O96"/>
  <c r="Q96"/>
  <c r="L97"/>
  <c r="N97"/>
  <c r="P97"/>
  <c r="D99"/>
  <c r="J99"/>
  <c r="K99"/>
  <c r="M99"/>
  <c r="O99"/>
  <c r="Q99"/>
  <c r="L100"/>
  <c r="N100"/>
  <c r="P100"/>
  <c r="J80"/>
  <c r="J82"/>
  <c r="D97"/>
  <c r="L96"/>
  <c r="N96"/>
  <c r="P96"/>
  <c r="K97"/>
  <c r="M97"/>
  <c r="O97"/>
  <c r="Q97"/>
  <c r="D100"/>
  <c r="L99"/>
  <c r="N99"/>
  <c r="P99"/>
  <c r="K100"/>
  <c r="M100"/>
  <c r="O100"/>
  <c r="Q100"/>
  <c r="D36"/>
  <c r="D72" s="1"/>
  <c r="C21" i="138" l="1"/>
  <c r="C20"/>
  <c r="C19"/>
  <c r="C18"/>
  <c r="AW43" i="180"/>
  <c r="J12" i="131"/>
  <c r="D114" i="163"/>
  <c r="C117"/>
  <c r="C116"/>
  <c r="C76" i="162"/>
  <c r="C75"/>
  <c r="C46" i="161"/>
  <c r="H28" i="177"/>
  <c r="B7" i="174"/>
  <c r="D103" i="163"/>
  <c r="D102"/>
  <c r="D95"/>
  <c r="D93"/>
  <c r="C86"/>
  <c r="C77"/>
  <c r="C69"/>
  <c r="D64"/>
  <c r="D63"/>
  <c r="D62"/>
  <c r="D61"/>
  <c r="C55"/>
  <c r="D48"/>
  <c r="D84" s="1"/>
  <c r="D39"/>
  <c r="D75" s="1"/>
  <c r="D31"/>
  <c r="D91" s="1"/>
  <c r="Q12"/>
  <c r="P12"/>
  <c r="O12"/>
  <c r="N12"/>
  <c r="M12"/>
  <c r="L12"/>
  <c r="K12"/>
  <c r="J12"/>
  <c r="J8" s="1"/>
  <c r="B16" i="162"/>
  <c r="Q12"/>
  <c r="Q62" s="1"/>
  <c r="P12"/>
  <c r="P62" s="1"/>
  <c r="O12"/>
  <c r="O62" s="1"/>
  <c r="N12"/>
  <c r="N62" s="1"/>
  <c r="M12"/>
  <c r="M62" s="1"/>
  <c r="L12"/>
  <c r="L62" s="1"/>
  <c r="K12"/>
  <c r="K62" s="1"/>
  <c r="J12"/>
  <c r="B16" i="161"/>
  <c r="Q12"/>
  <c r="P12"/>
  <c r="O12"/>
  <c r="N12"/>
  <c r="M12"/>
  <c r="L12"/>
  <c r="K12"/>
  <c r="J12"/>
  <c r="J8" s="1"/>
  <c r="Q12" i="138"/>
  <c r="P12"/>
  <c r="O12"/>
  <c r="N12"/>
  <c r="M12"/>
  <c r="L12"/>
  <c r="K12"/>
  <c r="J12"/>
  <c r="D55" i="135"/>
  <c r="D39"/>
  <c r="D13"/>
  <c r="Q12" i="133"/>
  <c r="P12"/>
  <c r="O12"/>
  <c r="N12"/>
  <c r="M12"/>
  <c r="L12"/>
  <c r="K12"/>
  <c r="J12"/>
  <c r="J27" i="131"/>
  <c r="J18"/>
  <c r="D13" i="130"/>
  <c r="D14" s="1"/>
  <c r="D15" s="1"/>
  <c r="D16" s="1"/>
  <c r="D17" s="1"/>
  <c r="D18" s="1"/>
  <c r="D19" s="1"/>
  <c r="D20" s="1"/>
  <c r="D21" s="1"/>
  <c r="D22" s="1"/>
  <c r="D23" s="1"/>
  <c r="D24" s="1"/>
  <c r="D25" s="1"/>
  <c r="D26" s="1"/>
  <c r="D27" s="1"/>
  <c r="D28" s="1"/>
  <c r="D29" s="1"/>
  <c r="D30" s="1"/>
  <c r="D31" s="1"/>
  <c r="D32" s="1"/>
  <c r="D33" s="1"/>
  <c r="D34" s="1"/>
  <c r="D35" s="1"/>
  <c r="D36" s="1"/>
  <c r="D37" s="1"/>
  <c r="D38" s="1"/>
  <c r="D39" s="1"/>
  <c r="D40" s="1"/>
  <c r="D41" s="1"/>
  <c r="D42" s="1"/>
  <c r="Q106" i="138" l="1"/>
  <c r="O106"/>
  <c r="M106"/>
  <c r="K106"/>
  <c r="D52"/>
  <c r="E106"/>
  <c r="P106"/>
  <c r="P107" s="1"/>
  <c r="N106"/>
  <c r="N107" s="1"/>
  <c r="L106"/>
  <c r="L107" s="1"/>
  <c r="J106"/>
  <c r="D35"/>
  <c r="K107"/>
  <c r="M107"/>
  <c r="O107"/>
  <c r="Q107"/>
  <c r="F28" i="189"/>
  <c r="I28"/>
  <c r="J28" s="1"/>
  <c r="C28"/>
  <c r="D28" s="1"/>
  <c r="K187" i="138"/>
  <c r="K188" s="1"/>
  <c r="K29" i="163" s="1"/>
  <c r="K65" s="1"/>
  <c r="K205" i="138"/>
  <c r="K206" s="1"/>
  <c r="K193"/>
  <c r="K194" s="1"/>
  <c r="K199"/>
  <c r="K200" s="1"/>
  <c r="K37" i="163" s="1"/>
  <c r="M199" i="138"/>
  <c r="M200" s="1"/>
  <c r="M37" i="163" s="1"/>
  <c r="M187" i="138"/>
  <c r="M188" s="1"/>
  <c r="M29" i="163" s="1"/>
  <c r="M65" s="1"/>
  <c r="M205" i="138"/>
  <c r="M206" s="1"/>
  <c r="M193"/>
  <c r="M194" s="1"/>
  <c r="M30" i="163" s="1"/>
  <c r="M66" s="1"/>
  <c r="O187" i="138"/>
  <c r="O188" s="1"/>
  <c r="O29" i="163" s="1"/>
  <c r="O65" s="1"/>
  <c r="O199" i="138"/>
  <c r="O200" s="1"/>
  <c r="O37" i="163" s="1"/>
  <c r="O193" i="138"/>
  <c r="O194" s="1"/>
  <c r="O205"/>
  <c r="O206" s="1"/>
  <c r="Q199"/>
  <c r="Q200" s="1"/>
  <c r="Q37" i="163" s="1"/>
  <c r="Q73" s="1"/>
  <c r="Q187" i="138"/>
  <c r="Q188" s="1"/>
  <c r="Q29" i="163" s="1"/>
  <c r="Q65" s="1"/>
  <c r="Q205" i="138"/>
  <c r="Q206" s="1"/>
  <c r="Q193"/>
  <c r="Q194" s="1"/>
  <c r="Q30" i="163" s="1"/>
  <c r="Q66" s="1"/>
  <c r="L193" i="138"/>
  <c r="L194" s="1"/>
  <c r="L205"/>
  <c r="L206" s="1"/>
  <c r="L38" i="163" s="1"/>
  <c r="L74" s="1"/>
  <c r="L199" i="138"/>
  <c r="L200" s="1"/>
  <c r="L37" i="163" s="1"/>
  <c r="L187" i="138"/>
  <c r="L188" s="1"/>
  <c r="L29" i="163" s="1"/>
  <c r="L65" s="1"/>
  <c r="N205" i="138"/>
  <c r="N206" s="1"/>
  <c r="N38" i="163" s="1"/>
  <c r="N74" s="1"/>
  <c r="N193" i="138"/>
  <c r="N194" s="1"/>
  <c r="N199"/>
  <c r="N200" s="1"/>
  <c r="N187"/>
  <c r="N188" s="1"/>
  <c r="N29" i="163" s="1"/>
  <c r="N65" s="1"/>
  <c r="P193" i="138"/>
  <c r="P194" s="1"/>
  <c r="P205"/>
  <c r="P206" s="1"/>
  <c r="P38" i="163" s="1"/>
  <c r="P74" s="1"/>
  <c r="P199" i="138"/>
  <c r="P200" s="1"/>
  <c r="P37" i="163" s="1"/>
  <c r="P73" s="1"/>
  <c r="P187" i="138"/>
  <c r="P188" s="1"/>
  <c r="P29" i="163" s="1"/>
  <c r="P65" s="1"/>
  <c r="AQ19" i="180"/>
  <c r="AU17"/>
  <c r="AU11"/>
  <c r="AQ13"/>
  <c r="E24" i="163"/>
  <c r="AU23" i="180"/>
  <c r="AQ25"/>
  <c r="J177" i="138"/>
  <c r="J179" s="1"/>
  <c r="J28" i="163" s="1"/>
  <c r="J205" i="138"/>
  <c r="J206" s="1"/>
  <c r="J38" i="163" s="1"/>
  <c r="J74" s="1"/>
  <c r="J199" i="138"/>
  <c r="J200" s="1"/>
  <c r="J37" i="163" s="1"/>
  <c r="J193" i="138"/>
  <c r="J194" s="1"/>
  <c r="J30" i="163" s="1"/>
  <c r="J66" s="1"/>
  <c r="J187" i="138"/>
  <c r="J188" s="1"/>
  <c r="J29" i="163" s="1"/>
  <c r="J65" s="1"/>
  <c r="L30"/>
  <c r="L66" s="1"/>
  <c r="N37"/>
  <c r="N30"/>
  <c r="N66" s="1"/>
  <c r="P30"/>
  <c r="P66" s="1"/>
  <c r="K38"/>
  <c r="K74" s="1"/>
  <c r="K30"/>
  <c r="K66" s="1"/>
  <c r="M38"/>
  <c r="M74" s="1"/>
  <c r="O38"/>
  <c r="O74" s="1"/>
  <c r="O30"/>
  <c r="O66" s="1"/>
  <c r="Q38"/>
  <c r="Q74" s="1"/>
  <c r="J8" i="162"/>
  <c r="J61"/>
  <c r="J144" i="138" s="1"/>
  <c r="J20" i="162"/>
  <c r="J147" i="138" s="1"/>
  <c r="D162"/>
  <c r="E23" i="163"/>
  <c r="D67" i="138"/>
  <c r="D35" i="163"/>
  <c r="D71" s="1"/>
  <c r="D161" i="138"/>
  <c r="E20" i="163"/>
  <c r="D23" i="161"/>
  <c r="D163" i="138"/>
  <c r="D19" i="161"/>
  <c r="J121" i="138"/>
  <c r="J124" s="1"/>
  <c r="K121" s="1"/>
  <c r="K124" s="1"/>
  <c r="L121" s="1"/>
  <c r="L124" s="1"/>
  <c r="M121" s="1"/>
  <c r="M124" s="1"/>
  <c r="N121" s="1"/>
  <c r="N124" s="1"/>
  <c r="O121" s="1"/>
  <c r="O124" s="1"/>
  <c r="P121" s="1"/>
  <c r="P124" s="1"/>
  <c r="Q121" s="1"/>
  <c r="Q124" s="1"/>
  <c r="J128"/>
  <c r="J112"/>
  <c r="J95"/>
  <c r="J66"/>
  <c r="J78"/>
  <c r="J104"/>
  <c r="D30"/>
  <c r="D18" i="161"/>
  <c r="J46" i="138"/>
  <c r="J22"/>
  <c r="J20"/>
  <c r="J29"/>
  <c r="J19"/>
  <c r="K19" s="1"/>
  <c r="L19" s="1"/>
  <c r="M19" s="1"/>
  <c r="N19" s="1"/>
  <c r="O19" s="1"/>
  <c r="P19" s="1"/>
  <c r="Q19" s="1"/>
  <c r="J21"/>
  <c r="J18"/>
  <c r="K18" s="1"/>
  <c r="J21" i="131"/>
  <c r="J22" s="1"/>
  <c r="D67" i="163"/>
  <c r="D92"/>
  <c r="J8" i="138"/>
  <c r="J8" i="133"/>
  <c r="J16" i="131"/>
  <c r="J20"/>
  <c r="J17"/>
  <c r="G28" i="189" l="1"/>
  <c r="F34"/>
  <c r="F38"/>
  <c r="J35" i="163"/>
  <c r="K21" i="138"/>
  <c r="L21" s="1"/>
  <c r="M21" s="1"/>
  <c r="N21" s="1"/>
  <c r="O21" s="1"/>
  <c r="P21" s="1"/>
  <c r="Q21" s="1"/>
  <c r="J36" i="163"/>
  <c r="J72" s="1"/>
  <c r="K22" i="138"/>
  <c r="L22" s="1"/>
  <c r="M22" s="1"/>
  <c r="N22" s="1"/>
  <c r="O22" s="1"/>
  <c r="P22" s="1"/>
  <c r="Q22" s="1"/>
  <c r="K30"/>
  <c r="L18"/>
  <c r="AX25" i="180"/>
  <c r="K20" i="138"/>
  <c r="L20" s="1"/>
  <c r="M20" s="1"/>
  <c r="N20" s="1"/>
  <c r="O20" s="1"/>
  <c r="P20" s="1"/>
  <c r="Q20" s="1"/>
  <c r="K161"/>
  <c r="K162"/>
  <c r="B12" i="180"/>
  <c r="AQ32"/>
  <c r="AQ33"/>
  <c r="B14"/>
  <c r="N54"/>
  <c r="J20" i="163"/>
  <c r="AX13" i="180"/>
  <c r="J23" i="163"/>
  <c r="AX19" i="180"/>
  <c r="AQ31"/>
  <c r="B11"/>
  <c r="O73" i="163"/>
  <c r="S55" i="180"/>
  <c r="M73" i="163"/>
  <c r="Q55" i="180"/>
  <c r="K73" i="163"/>
  <c r="O55" i="180"/>
  <c r="N73" i="163"/>
  <c r="R55" i="180"/>
  <c r="L73" i="163"/>
  <c r="P55" i="180"/>
  <c r="J73" i="163"/>
  <c r="N55" i="180"/>
  <c r="K23" i="161"/>
  <c r="J78" i="133"/>
  <c r="J24" i="163"/>
  <c r="J23" i="161"/>
  <c r="J163" i="138"/>
  <c r="J18" i="161"/>
  <c r="J161" i="138"/>
  <c r="J19" i="161"/>
  <c r="J162" i="138"/>
  <c r="J98"/>
  <c r="K95" s="1"/>
  <c r="J79"/>
  <c r="J67"/>
  <c r="J47"/>
  <c r="J30"/>
  <c r="B6"/>
  <c r="B6" i="133"/>
  <c r="B6" i="161"/>
  <c r="B6" i="162"/>
  <c r="B6" i="163"/>
  <c r="J59" i="162"/>
  <c r="N40" i="180" s="1"/>
  <c r="K75" i="133"/>
  <c r="J19" i="131"/>
  <c r="J23" s="1"/>
  <c r="K35" i="163" l="1"/>
  <c r="J39"/>
  <c r="AX43" i="180"/>
  <c r="AX42"/>
  <c r="I42" i="189"/>
  <c r="I38"/>
  <c r="K24" i="163"/>
  <c r="M18" i="138"/>
  <c r="L30"/>
  <c r="K163"/>
  <c r="AY25" i="180"/>
  <c r="K79" i="138"/>
  <c r="K81" s="1"/>
  <c r="K165" s="1"/>
  <c r="L161"/>
  <c r="K98"/>
  <c r="L95" s="1"/>
  <c r="K67"/>
  <c r="K69" s="1"/>
  <c r="K164" s="1"/>
  <c r="L162"/>
  <c r="L47"/>
  <c r="K47"/>
  <c r="N14" i="180"/>
  <c r="AX33"/>
  <c r="N56"/>
  <c r="K20" i="163"/>
  <c r="AY13" i="180"/>
  <c r="K23" i="163"/>
  <c r="AY19" i="180"/>
  <c r="AX32"/>
  <c r="N12"/>
  <c r="N11"/>
  <c r="AX31"/>
  <c r="AY33"/>
  <c r="O14"/>
  <c r="K36" i="163"/>
  <c r="K72" s="1"/>
  <c r="L23" i="161"/>
  <c r="L24" i="163"/>
  <c r="J48" i="162"/>
  <c r="J51" s="1"/>
  <c r="K18" i="161"/>
  <c r="K19"/>
  <c r="J21"/>
  <c r="J25" s="1"/>
  <c r="AX34" i="180" s="1"/>
  <c r="J109" i="138"/>
  <c r="K56" i="133"/>
  <c r="J59"/>
  <c r="J81" i="138"/>
  <c r="J69"/>
  <c r="J164" s="1"/>
  <c r="L35" i="163"/>
  <c r="J53" i="131"/>
  <c r="J55" s="1"/>
  <c r="J54" s="1"/>
  <c r="J56" s="1"/>
  <c r="J57" s="1"/>
  <c r="K11" i="162"/>
  <c r="Q11" i="161"/>
  <c r="Q11" i="163"/>
  <c r="L11" i="138"/>
  <c r="N11" i="133"/>
  <c r="O11" i="138"/>
  <c r="K11" i="133"/>
  <c r="L11" i="163"/>
  <c r="Q11" i="162"/>
  <c r="K11" i="161"/>
  <c r="K11" i="163"/>
  <c r="P11" i="162"/>
  <c r="L11" i="161"/>
  <c r="M11" i="133"/>
  <c r="L11"/>
  <c r="M11" i="138"/>
  <c r="N11" i="163"/>
  <c r="O11" i="162"/>
  <c r="J11"/>
  <c r="M11" i="161"/>
  <c r="M11" i="163"/>
  <c r="N11" i="162"/>
  <c r="N11" i="161"/>
  <c r="Q11" i="133"/>
  <c r="P11" i="138"/>
  <c r="K11"/>
  <c r="J11"/>
  <c r="P11" i="163"/>
  <c r="M11" i="162"/>
  <c r="O11" i="161"/>
  <c r="J11"/>
  <c r="O11" i="163"/>
  <c r="J11"/>
  <c r="L11" i="162"/>
  <c r="P11" i="161"/>
  <c r="N11" i="138"/>
  <c r="P11" i="133"/>
  <c r="J11"/>
  <c r="Q11" i="138"/>
  <c r="O11" i="133"/>
  <c r="J25" i="131"/>
  <c r="J9" i="162" s="1"/>
  <c r="J24" i="131"/>
  <c r="P10" i="133"/>
  <c r="P7" s="1"/>
  <c r="D18" i="182" s="1"/>
  <c r="N10" i="133"/>
  <c r="N7" s="1"/>
  <c r="D16" i="182" s="1"/>
  <c r="J10" i="133"/>
  <c r="J7" s="1"/>
  <c r="D12" i="182" s="1"/>
  <c r="Q10" i="133"/>
  <c r="Q7" s="1"/>
  <c r="D19" i="182" s="1"/>
  <c r="M10" i="138"/>
  <c r="M7" s="1"/>
  <c r="B7" i="161"/>
  <c r="J46" i="131"/>
  <c r="J47" s="1"/>
  <c r="J48" s="1"/>
  <c r="L10" i="133"/>
  <c r="L7" s="1"/>
  <c r="D14" i="182" s="1"/>
  <c r="N10" i="138"/>
  <c r="N7" s="1"/>
  <c r="M10" i="133"/>
  <c r="M7" s="1"/>
  <c r="D15" i="182" s="1"/>
  <c r="J10" i="138"/>
  <c r="J7" s="1"/>
  <c r="Q10"/>
  <c r="Q7" s="1"/>
  <c r="J10" i="161"/>
  <c r="M10"/>
  <c r="Q10"/>
  <c r="J10" i="162"/>
  <c r="M10"/>
  <c r="Q10"/>
  <c r="L10" i="163"/>
  <c r="P10"/>
  <c r="N10" i="161"/>
  <c r="N10" i="162"/>
  <c r="K10" i="163"/>
  <c r="O10"/>
  <c r="P9"/>
  <c r="L9"/>
  <c r="Q9" i="162"/>
  <c r="M9"/>
  <c r="O9" i="161"/>
  <c r="K9"/>
  <c r="O9" i="163"/>
  <c r="K9"/>
  <c r="P9" i="162"/>
  <c r="L9"/>
  <c r="P9" i="161"/>
  <c r="L9"/>
  <c r="N9" i="163"/>
  <c r="O9" i="162"/>
  <c r="K9"/>
  <c r="Q9" i="161"/>
  <c r="M9"/>
  <c r="Q9" i="163"/>
  <c r="M9"/>
  <c r="N9" i="162"/>
  <c r="N9" i="161"/>
  <c r="K10"/>
  <c r="O10"/>
  <c r="K10" i="162"/>
  <c r="O10"/>
  <c r="N10" i="163"/>
  <c r="L10" i="161"/>
  <c r="P10"/>
  <c r="L10" i="162"/>
  <c r="P10"/>
  <c r="J10" i="163"/>
  <c r="M10"/>
  <c r="Q10"/>
  <c r="K78" i="133"/>
  <c r="M46" i="135"/>
  <c r="I40" s="1"/>
  <c r="Q13" i="133"/>
  <c r="N9" i="138"/>
  <c r="Q9" i="133"/>
  <c r="P9" i="138"/>
  <c r="N9" i="133"/>
  <c r="M9"/>
  <c r="O9"/>
  <c r="K9" i="138"/>
  <c r="O9"/>
  <c r="L9" i="133"/>
  <c r="P9"/>
  <c r="K9"/>
  <c r="L9" i="138"/>
  <c r="M9"/>
  <c r="Q9"/>
  <c r="B7" i="133"/>
  <c r="L10" i="138"/>
  <c r="P10"/>
  <c r="K10" i="133"/>
  <c r="O10"/>
  <c r="K10" i="138"/>
  <c r="O10"/>
  <c r="J58" i="131"/>
  <c r="J9" i="133" l="1"/>
  <c r="J34" s="1"/>
  <c r="B7" i="162"/>
  <c r="J9" i="161"/>
  <c r="B7" i="138"/>
  <c r="J9"/>
  <c r="J107" s="1"/>
  <c r="J110" s="1"/>
  <c r="J33" i="161" s="1"/>
  <c r="N18" i="180" s="1"/>
  <c r="B7" i="163"/>
  <c r="J9"/>
  <c r="K8" s="1"/>
  <c r="AU38" i="180"/>
  <c r="AU47"/>
  <c r="L46" i="189"/>
  <c r="L42"/>
  <c r="N18" i="138"/>
  <c r="M30"/>
  <c r="K109"/>
  <c r="K110" s="1"/>
  <c r="K113" s="1"/>
  <c r="K114" s="1"/>
  <c r="M162"/>
  <c r="L98"/>
  <c r="M95" s="1"/>
  <c r="L163"/>
  <c r="M47"/>
  <c r="AZ25" i="180"/>
  <c r="K39" i="163"/>
  <c r="L67" i="138"/>
  <c r="L69" s="1"/>
  <c r="L164" s="1"/>
  <c r="K166"/>
  <c r="K167" s="1"/>
  <c r="K169" s="1"/>
  <c r="K173" s="1"/>
  <c r="K178" s="1"/>
  <c r="L179" s="1"/>
  <c r="M161"/>
  <c r="L79"/>
  <c r="L81" s="1"/>
  <c r="L165" s="1"/>
  <c r="O54" i="180"/>
  <c r="O56" s="1"/>
  <c r="N13"/>
  <c r="N15" s="1"/>
  <c r="N23" s="1"/>
  <c r="AZ33"/>
  <c r="P14"/>
  <c r="L20" i="163"/>
  <c r="AZ13" i="180"/>
  <c r="L23" i="163"/>
  <c r="AZ19" i="180"/>
  <c r="AY32"/>
  <c r="O12"/>
  <c r="AY31"/>
  <c r="O11"/>
  <c r="O13" s="1"/>
  <c r="O15" s="1"/>
  <c r="M23" i="161"/>
  <c r="Q13" i="138"/>
  <c r="L36" i="163"/>
  <c r="L72" s="1"/>
  <c r="K48" i="162"/>
  <c r="K51" s="1"/>
  <c r="J28" i="161"/>
  <c r="J165" i="138"/>
  <c r="K27" i="161"/>
  <c r="K28"/>
  <c r="K21"/>
  <c r="K25" s="1"/>
  <c r="AY34" i="180" s="1"/>
  <c r="L18" i="161"/>
  <c r="L19"/>
  <c r="M13" i="138"/>
  <c r="N13"/>
  <c r="M13" i="133"/>
  <c r="P13"/>
  <c r="K33" i="161"/>
  <c r="O18" i="180" s="1"/>
  <c r="L13" i="133"/>
  <c r="N13"/>
  <c r="J50" i="138"/>
  <c r="K46" s="1"/>
  <c r="J82"/>
  <c r="K78" s="1"/>
  <c r="K82" s="1"/>
  <c r="K59" i="133"/>
  <c r="J70" i="138"/>
  <c r="K66" s="1"/>
  <c r="K70" s="1"/>
  <c r="J27" i="161"/>
  <c r="M35" i="163"/>
  <c r="J13" i="133"/>
  <c r="J33" i="138"/>
  <c r="K29" s="1"/>
  <c r="J13"/>
  <c r="B28" i="180"/>
  <c r="B47"/>
  <c r="AP7"/>
  <c r="B9"/>
  <c r="K8" i="138"/>
  <c r="K33" s="1"/>
  <c r="J6"/>
  <c r="K8" i="133"/>
  <c r="K34" s="1"/>
  <c r="J6"/>
  <c r="N8" i="138"/>
  <c r="M6"/>
  <c r="L8" i="133"/>
  <c r="L34" s="1"/>
  <c r="K6"/>
  <c r="M8"/>
  <c r="M34" s="1"/>
  <c r="L6"/>
  <c r="P8" i="138"/>
  <c r="O6"/>
  <c r="N8" i="133"/>
  <c r="N34" s="1"/>
  <c r="M6"/>
  <c r="Q8" i="138"/>
  <c r="P6"/>
  <c r="O8"/>
  <c r="N6"/>
  <c r="Q6" i="163"/>
  <c r="N8" i="161"/>
  <c r="M6"/>
  <c r="L8" i="162"/>
  <c r="K6"/>
  <c r="M8" i="161"/>
  <c r="L6"/>
  <c r="M8" i="162"/>
  <c r="L6"/>
  <c r="L8" i="163"/>
  <c r="K6"/>
  <c r="P8" i="161"/>
  <c r="O6"/>
  <c r="N8" i="162"/>
  <c r="M6"/>
  <c r="M8" i="163"/>
  <c r="L6"/>
  <c r="J6"/>
  <c r="K8" i="161"/>
  <c r="J6"/>
  <c r="Q6" i="138"/>
  <c r="M8"/>
  <c r="L6"/>
  <c r="Q8" i="133"/>
  <c r="Q34" s="1"/>
  <c r="P6"/>
  <c r="L8" i="138"/>
  <c r="L50" s="1"/>
  <c r="K6"/>
  <c r="P8" i="133"/>
  <c r="P34" s="1"/>
  <c r="O6"/>
  <c r="O8"/>
  <c r="O34" s="1"/>
  <c r="N6"/>
  <c r="Q6"/>
  <c r="O8" i="161"/>
  <c r="N6"/>
  <c r="O8" i="162"/>
  <c r="N6"/>
  <c r="N8" i="163"/>
  <c r="M6"/>
  <c r="Q6" i="161"/>
  <c r="P8" i="162"/>
  <c r="O6"/>
  <c r="O8" i="163"/>
  <c r="N6"/>
  <c r="Q8" i="161"/>
  <c r="P6"/>
  <c r="Q8" i="162"/>
  <c r="P6"/>
  <c r="P8" i="163"/>
  <c r="O6"/>
  <c r="L8" i="161"/>
  <c r="K6"/>
  <c r="Q6" i="162"/>
  <c r="Q8" i="163"/>
  <c r="P6"/>
  <c r="K8" i="162"/>
  <c r="J6"/>
  <c r="K59"/>
  <c r="O40" i="180" s="1"/>
  <c r="L75" i="133"/>
  <c r="M13" i="163"/>
  <c r="M7"/>
  <c r="P13" i="162"/>
  <c r="P7"/>
  <c r="P13" i="161"/>
  <c r="P7"/>
  <c r="BD7" i="180" s="1"/>
  <c r="N13" i="163"/>
  <c r="N7"/>
  <c r="O13" i="162"/>
  <c r="O7"/>
  <c r="K13" i="161"/>
  <c r="K7"/>
  <c r="K13" i="163"/>
  <c r="K7"/>
  <c r="N13" i="162"/>
  <c r="N7"/>
  <c r="N13" i="161"/>
  <c r="N7"/>
  <c r="L13" i="163"/>
  <c r="L7"/>
  <c r="M13" i="162"/>
  <c r="M7"/>
  <c r="Q13" i="161"/>
  <c r="Q7"/>
  <c r="BE7" i="180" s="1"/>
  <c r="J13" i="161"/>
  <c r="J7"/>
  <c r="Q13" i="163"/>
  <c r="Q7"/>
  <c r="J13"/>
  <c r="J7"/>
  <c r="L13" i="162"/>
  <c r="L7"/>
  <c r="L13" i="161"/>
  <c r="L7"/>
  <c r="K13" i="162"/>
  <c r="K7"/>
  <c r="O13" i="161"/>
  <c r="O7"/>
  <c r="O13" i="163"/>
  <c r="O7"/>
  <c r="P13"/>
  <c r="P7"/>
  <c r="Q13" i="162"/>
  <c r="Q7"/>
  <c r="J13"/>
  <c r="J7"/>
  <c r="M13" i="161"/>
  <c r="M7"/>
  <c r="N35" i="180"/>
  <c r="I39" i="135"/>
  <c r="K13" i="138"/>
  <c r="K7"/>
  <c r="O7" i="133"/>
  <c r="D17" i="182" s="1"/>
  <c r="O13" i="133"/>
  <c r="P7" i="138"/>
  <c r="P13"/>
  <c r="O13"/>
  <c r="O7"/>
  <c r="K7" i="133"/>
  <c r="D13" i="182" s="1"/>
  <c r="K13" i="133"/>
  <c r="L7" i="138"/>
  <c r="L13"/>
  <c r="J49" i="131"/>
  <c r="K35" i="138" l="1"/>
  <c r="L29"/>
  <c r="O18"/>
  <c r="N30"/>
  <c r="N33" s="1"/>
  <c r="K31"/>
  <c r="K32" s="1"/>
  <c r="M33"/>
  <c r="L33"/>
  <c r="L109"/>
  <c r="L110" s="1"/>
  <c r="L166" s="1"/>
  <c r="L167" s="1"/>
  <c r="L169" s="1"/>
  <c r="L173" s="1"/>
  <c r="L178" s="1"/>
  <c r="M179" s="1"/>
  <c r="K29" i="161"/>
  <c r="O16" i="180" s="1"/>
  <c r="O17" s="1"/>
  <c r="O19" s="1"/>
  <c r="M24" i="163"/>
  <c r="L58" i="138"/>
  <c r="M46"/>
  <c r="K41"/>
  <c r="M50"/>
  <c r="M52" s="1"/>
  <c r="L66"/>
  <c r="L70" s="1"/>
  <c r="K72"/>
  <c r="K73" s="1"/>
  <c r="K74" s="1"/>
  <c r="L78"/>
  <c r="L82" s="1"/>
  <c r="K84"/>
  <c r="K85" s="1"/>
  <c r="K86" s="1"/>
  <c r="M79"/>
  <c r="M81" s="1"/>
  <c r="M165" s="1"/>
  <c r="N161"/>
  <c r="M67"/>
  <c r="M69" s="1"/>
  <c r="M164" s="1"/>
  <c r="M98"/>
  <c r="N95" s="1"/>
  <c r="K50"/>
  <c r="K52" s="1"/>
  <c r="M163"/>
  <c r="N47"/>
  <c r="BA25" i="180"/>
  <c r="N162" i="138"/>
  <c r="J30" i="162"/>
  <c r="L56" i="133"/>
  <c r="I34"/>
  <c r="K20" i="135" s="1"/>
  <c r="M20" s="1"/>
  <c r="AZ32" i="180"/>
  <c r="P12"/>
  <c r="AZ31"/>
  <c r="P11"/>
  <c r="P13" s="1"/>
  <c r="P15" s="1"/>
  <c r="BA33"/>
  <c r="Q14"/>
  <c r="P54"/>
  <c r="P56" s="1"/>
  <c r="M20" i="163"/>
  <c r="BA13" i="180"/>
  <c r="M23" i="163"/>
  <c r="BA19" i="180"/>
  <c r="L39" i="163"/>
  <c r="M36"/>
  <c r="M72" s="1"/>
  <c r="K30" i="162"/>
  <c r="N24" i="163"/>
  <c r="J29" i="161"/>
  <c r="N16" i="180" s="1"/>
  <c r="N17" s="1"/>
  <c r="N19" s="1"/>
  <c r="M56" i="133"/>
  <c r="L48" i="162"/>
  <c r="L51" s="1"/>
  <c r="K27" i="163"/>
  <c r="J113" i="138"/>
  <c r="J114" s="1"/>
  <c r="J166"/>
  <c r="L27" i="161"/>
  <c r="L28"/>
  <c r="M18"/>
  <c r="M19"/>
  <c r="L21"/>
  <c r="L25" s="1"/>
  <c r="AZ34" i="180" s="1"/>
  <c r="J39" i="162"/>
  <c r="L33" i="161"/>
  <c r="P18" i="180" s="1"/>
  <c r="J84" i="138"/>
  <c r="J85" s="1"/>
  <c r="J86" s="1"/>
  <c r="L59" i="133"/>
  <c r="J72" i="138"/>
  <c r="J73" s="1"/>
  <c r="J29" i="162"/>
  <c r="N35" i="163"/>
  <c r="J48" i="138"/>
  <c r="J58"/>
  <c r="K23" i="162"/>
  <c r="J31" i="138"/>
  <c r="J41"/>
  <c r="O23" i="180"/>
  <c r="N47"/>
  <c r="AX7"/>
  <c r="N9"/>
  <c r="N28"/>
  <c r="R47"/>
  <c r="BB7"/>
  <c r="R9"/>
  <c r="R28"/>
  <c r="AY7"/>
  <c r="O9"/>
  <c r="O28"/>
  <c r="O47"/>
  <c r="Q28"/>
  <c r="Q47"/>
  <c r="BA7"/>
  <c r="Q9"/>
  <c r="BC7"/>
  <c r="S9"/>
  <c r="S28"/>
  <c r="S47"/>
  <c r="P9"/>
  <c r="P28"/>
  <c r="P47"/>
  <c r="AZ7"/>
  <c r="J23" i="162"/>
  <c r="K92" i="163"/>
  <c r="K71"/>
  <c r="K75" s="1"/>
  <c r="J71"/>
  <c r="J75" s="1"/>
  <c r="L78" i="133"/>
  <c r="L113" i="138" l="1"/>
  <c r="L114" s="1"/>
  <c r="J33" i="162"/>
  <c r="L52" i="138"/>
  <c r="M35"/>
  <c r="N29"/>
  <c r="P18"/>
  <c r="O30"/>
  <c r="O33" s="1"/>
  <c r="L35"/>
  <c r="M29"/>
  <c r="M31" s="1"/>
  <c r="M32" s="1"/>
  <c r="L31"/>
  <c r="L32" s="1"/>
  <c r="N35"/>
  <c r="O29"/>
  <c r="N31"/>
  <c r="N32" s="1"/>
  <c r="N50"/>
  <c r="N52" s="1"/>
  <c r="L41"/>
  <c r="M41"/>
  <c r="N67"/>
  <c r="N69" s="1"/>
  <c r="N164" s="1"/>
  <c r="O161"/>
  <c r="L84"/>
  <c r="L85" s="1"/>
  <c r="L86" s="1"/>
  <c r="M78"/>
  <c r="M82" s="1"/>
  <c r="L72"/>
  <c r="L73" s="1"/>
  <c r="L74" s="1"/>
  <c r="M66"/>
  <c r="M70" s="1"/>
  <c r="M58"/>
  <c r="N46"/>
  <c r="K40"/>
  <c r="K38"/>
  <c r="K39" s="1"/>
  <c r="L29" i="161"/>
  <c r="P16" i="180" s="1"/>
  <c r="P17" s="1"/>
  <c r="P19" s="1"/>
  <c r="N23" i="161"/>
  <c r="R14" i="180" s="1"/>
  <c r="M109" i="138"/>
  <c r="M110" s="1"/>
  <c r="O162"/>
  <c r="N163"/>
  <c r="BB25" i="180"/>
  <c r="K48" i="138"/>
  <c r="K58"/>
  <c r="L46"/>
  <c r="L48" s="1"/>
  <c r="N98"/>
  <c r="O95" s="1"/>
  <c r="N79"/>
  <c r="N81" s="1"/>
  <c r="N165" s="1"/>
  <c r="M48"/>
  <c r="L30" i="162"/>
  <c r="N20" i="163"/>
  <c r="BB13" i="180"/>
  <c r="N23" i="163"/>
  <c r="BB19" i="180"/>
  <c r="BA32"/>
  <c r="Q12"/>
  <c r="BA31"/>
  <c r="Q11"/>
  <c r="Q13" s="1"/>
  <c r="Q15" s="1"/>
  <c r="BB33"/>
  <c r="Q54"/>
  <c r="Q56" s="1"/>
  <c r="O23" i="161"/>
  <c r="O24" i="163"/>
  <c r="M39"/>
  <c r="N36"/>
  <c r="N72" s="1"/>
  <c r="N56" i="133"/>
  <c r="M48" i="162"/>
  <c r="M51" s="1"/>
  <c r="K37" i="161"/>
  <c r="O20" i="180" s="1"/>
  <c r="O21" s="1"/>
  <c r="L28" i="163"/>
  <c r="J115" i="138"/>
  <c r="K112" s="1"/>
  <c r="K115" s="1"/>
  <c r="L112" s="1"/>
  <c r="J27" i="163"/>
  <c r="J93" s="1"/>
  <c r="J167" i="138"/>
  <c r="J169" s="1"/>
  <c r="J173" s="1"/>
  <c r="L27" i="163"/>
  <c r="M27" i="161"/>
  <c r="M28"/>
  <c r="N18"/>
  <c r="N19"/>
  <c r="M21"/>
  <c r="M25" s="1"/>
  <c r="BA34" i="180" s="1"/>
  <c r="M33" i="161"/>
  <c r="Q18" i="180" s="1"/>
  <c r="M59" i="133"/>
  <c r="P23" i="180"/>
  <c r="O35" i="163"/>
  <c r="J57" i="138"/>
  <c r="J49"/>
  <c r="J55" s="1"/>
  <c r="J56" s="1"/>
  <c r="J40"/>
  <c r="J32"/>
  <c r="L71" i="163"/>
  <c r="L75" s="1"/>
  <c r="J92"/>
  <c r="L92"/>
  <c r="L59" i="162"/>
  <c r="P40" i="180" s="1"/>
  <c r="M75" i="133"/>
  <c r="O35" i="180"/>
  <c r="L23" i="162"/>
  <c r="L115" i="138" l="1"/>
  <c r="M112" s="1"/>
  <c r="O35"/>
  <c r="O31"/>
  <c r="O32" s="1"/>
  <c r="P29"/>
  <c r="Q18"/>
  <c r="Q30" s="1"/>
  <c r="Q33" s="1"/>
  <c r="P30"/>
  <c r="P33" s="1"/>
  <c r="K42"/>
  <c r="M40"/>
  <c r="M38"/>
  <c r="O79"/>
  <c r="O81" s="1"/>
  <c r="O165" s="1"/>
  <c r="L57"/>
  <c r="L49"/>
  <c r="L55" s="1"/>
  <c r="L56" s="1"/>
  <c r="M113"/>
  <c r="M114" s="1"/>
  <c r="M166"/>
  <c r="M167" s="1"/>
  <c r="M169" s="1"/>
  <c r="M173" s="1"/>
  <c r="M178" s="1"/>
  <c r="N179" s="1"/>
  <c r="M72"/>
  <c r="N66"/>
  <c r="N70" s="1"/>
  <c r="M84"/>
  <c r="N78"/>
  <c r="N82" s="1"/>
  <c r="P161"/>
  <c r="L40"/>
  <c r="L38"/>
  <c r="L39" s="1"/>
  <c r="N48"/>
  <c r="N58"/>
  <c r="O46"/>
  <c r="M115"/>
  <c r="N112" s="1"/>
  <c r="N109"/>
  <c r="N110" s="1"/>
  <c r="M57"/>
  <c r="M49"/>
  <c r="M55" s="1"/>
  <c r="O98"/>
  <c r="P95" s="1"/>
  <c r="K57"/>
  <c r="K49"/>
  <c r="K55" s="1"/>
  <c r="K56" s="1"/>
  <c r="O163"/>
  <c r="P47"/>
  <c r="BC25" i="180"/>
  <c r="P162" i="138"/>
  <c r="N41"/>
  <c r="O67"/>
  <c r="O69" s="1"/>
  <c r="O164" s="1"/>
  <c r="P35" i="163"/>
  <c r="O47" i="138"/>
  <c r="O23" i="163"/>
  <c r="BC19" i="180"/>
  <c r="R54"/>
  <c r="R56" s="1"/>
  <c r="O20" i="163"/>
  <c r="BC13" i="180"/>
  <c r="BB32"/>
  <c r="R12"/>
  <c r="BB31"/>
  <c r="R11"/>
  <c r="R13" s="1"/>
  <c r="R15" s="1"/>
  <c r="BC33"/>
  <c r="S14"/>
  <c r="O36" i="163"/>
  <c r="O72" s="1"/>
  <c r="P23" i="161"/>
  <c r="BD33" i="180" s="1"/>
  <c r="N39" i="163"/>
  <c r="J38" i="138"/>
  <c r="J39" s="1"/>
  <c r="J21" i="163"/>
  <c r="N48" i="162"/>
  <c r="N51" s="1"/>
  <c r="L37" i="161"/>
  <c r="P20" i="180" s="1"/>
  <c r="P21" s="1"/>
  <c r="M28" i="163"/>
  <c r="J37" i="161"/>
  <c r="N20" i="180" s="1"/>
  <c r="N21" s="1"/>
  <c r="J178" i="138"/>
  <c r="K179" s="1"/>
  <c r="J41" i="162"/>
  <c r="J59" i="163"/>
  <c r="M27"/>
  <c r="N21" i="161"/>
  <c r="N25" s="1"/>
  <c r="BB34" i="180" s="1"/>
  <c r="N27" i="161"/>
  <c r="N28"/>
  <c r="M29"/>
  <c r="Q16" i="180" s="1"/>
  <c r="Q17" s="1"/>
  <c r="Q19" s="1"/>
  <c r="O18" i="161"/>
  <c r="O19"/>
  <c r="J63" i="163"/>
  <c r="J95"/>
  <c r="N33" i="161"/>
  <c r="R18" i="180" s="1"/>
  <c r="Q23"/>
  <c r="O56" i="133"/>
  <c r="N59"/>
  <c r="J59" i="138"/>
  <c r="K21" i="163"/>
  <c r="K22" s="1"/>
  <c r="K59"/>
  <c r="M92"/>
  <c r="J25"/>
  <c r="J26" s="1"/>
  <c r="K95"/>
  <c r="K63"/>
  <c r="K93"/>
  <c r="M71"/>
  <c r="M75" s="1"/>
  <c r="K39" i="162"/>
  <c r="M78" i="133"/>
  <c r="P35" i="138" l="1"/>
  <c r="P31"/>
  <c r="P32" s="1"/>
  <c r="Q29"/>
  <c r="Q31" s="1"/>
  <c r="Q32" s="1"/>
  <c r="Q35"/>
  <c r="J42"/>
  <c r="P24" i="163"/>
  <c r="L59" i="138"/>
  <c r="P67"/>
  <c r="P69" s="1"/>
  <c r="P164" s="1"/>
  <c r="Q67"/>
  <c r="Q69" s="1"/>
  <c r="Q164" s="1"/>
  <c r="Q162"/>
  <c r="P163"/>
  <c r="Q163"/>
  <c r="BD25" i="180"/>
  <c r="M56" i="138"/>
  <c r="M59" s="1"/>
  <c r="N166"/>
  <c r="N167" s="1"/>
  <c r="N169" s="1"/>
  <c r="N173" s="1"/>
  <c r="N178" s="1"/>
  <c r="O179" s="1"/>
  <c r="N113"/>
  <c r="N114" s="1"/>
  <c r="Q161"/>
  <c r="M85"/>
  <c r="M86" s="1"/>
  <c r="M73"/>
  <c r="M74" s="1"/>
  <c r="K59"/>
  <c r="O109"/>
  <c r="O110" s="1"/>
  <c r="O33" i="161" s="1"/>
  <c r="S18" i="180" s="1"/>
  <c r="L42" i="138"/>
  <c r="O50"/>
  <c r="O52" s="1"/>
  <c r="N40"/>
  <c r="N38"/>
  <c r="P50"/>
  <c r="P98"/>
  <c r="Q95" s="1"/>
  <c r="Q98" s="1"/>
  <c r="Q109" s="1"/>
  <c r="Q110" s="1"/>
  <c r="N57"/>
  <c r="N49"/>
  <c r="N55" s="1"/>
  <c r="O41"/>
  <c r="N84"/>
  <c r="N85" s="1"/>
  <c r="N86" s="1"/>
  <c r="O78"/>
  <c r="O82" s="1"/>
  <c r="N72"/>
  <c r="N73" s="1"/>
  <c r="N74" s="1"/>
  <c r="O66"/>
  <c r="O70" s="1"/>
  <c r="P79"/>
  <c r="P81" s="1"/>
  <c r="P165" s="1"/>
  <c r="Q79"/>
  <c r="Q81" s="1"/>
  <c r="Q165" s="1"/>
  <c r="M39"/>
  <c r="M42" s="1"/>
  <c r="K28" i="163"/>
  <c r="M30" i="162"/>
  <c r="P20" i="163"/>
  <c r="BD13" i="180"/>
  <c r="BC32"/>
  <c r="S12"/>
  <c r="BC31"/>
  <c r="S11"/>
  <c r="S13" s="1"/>
  <c r="S15" s="1"/>
  <c r="S54"/>
  <c r="S56" s="1"/>
  <c r="P23" i="163"/>
  <c r="BD19" i="180"/>
  <c r="BE25"/>
  <c r="K25" i="163"/>
  <c r="K26" s="1"/>
  <c r="M25"/>
  <c r="M26" s="1"/>
  <c r="O39"/>
  <c r="P36"/>
  <c r="P72" s="1"/>
  <c r="Q23" i="161"/>
  <c r="BE33" i="180" s="1"/>
  <c r="O21" i="161"/>
  <c r="O25" s="1"/>
  <c r="BC34" i="180" s="1"/>
  <c r="O48" i="162"/>
  <c r="O51" s="1"/>
  <c r="M21" i="163"/>
  <c r="M22" s="1"/>
  <c r="K41" i="162"/>
  <c r="O27" i="161"/>
  <c r="O28"/>
  <c r="N29"/>
  <c r="R16" i="180" s="1"/>
  <c r="R17" s="1"/>
  <c r="R19" s="1"/>
  <c r="P18" i="161"/>
  <c r="BD31" i="180" s="1"/>
  <c r="P19" i="161"/>
  <c r="BD32" i="180" s="1"/>
  <c r="O59" i="133"/>
  <c r="K29" i="162"/>
  <c r="K33" s="1"/>
  <c r="Q36" i="163"/>
  <c r="Q35"/>
  <c r="BE13" i="180"/>
  <c r="L21" i="163"/>
  <c r="L22" s="1"/>
  <c r="R23" i="180"/>
  <c r="M59" i="162"/>
  <c r="Q40" i="180" s="1"/>
  <c r="N75" i="133"/>
  <c r="P35" i="180"/>
  <c r="N71" i="163"/>
  <c r="N75" s="1"/>
  <c r="N92"/>
  <c r="J61"/>
  <c r="J22"/>
  <c r="N25" l="1"/>
  <c r="N26" s="1"/>
  <c r="P52" i="138"/>
  <c r="Q24" i="163"/>
  <c r="N115" i="138"/>
  <c r="O112" s="1"/>
  <c r="O72"/>
  <c r="P66"/>
  <c r="P70" s="1"/>
  <c r="O84"/>
  <c r="O85" s="1"/>
  <c r="O86" s="1"/>
  <c r="P78"/>
  <c r="P82" s="1"/>
  <c r="N56"/>
  <c r="N59" s="1"/>
  <c r="Q166"/>
  <c r="Q167" s="1"/>
  <c r="Q169" s="1"/>
  <c r="Q173" s="1"/>
  <c r="Q178" s="1"/>
  <c r="Q113"/>
  <c r="Q114" s="1"/>
  <c r="N39"/>
  <c r="N42" s="1"/>
  <c r="O40"/>
  <c r="O38"/>
  <c r="P58"/>
  <c r="Q46"/>
  <c r="O58"/>
  <c r="O48"/>
  <c r="P46"/>
  <c r="P48" s="1"/>
  <c r="O113"/>
  <c r="O114" s="1"/>
  <c r="O27" i="163" s="1"/>
  <c r="O166" i="138"/>
  <c r="O167" s="1"/>
  <c r="O169" s="1"/>
  <c r="O173" s="1"/>
  <c r="O178" s="1"/>
  <c r="P179" s="1"/>
  <c r="P109"/>
  <c r="P110" s="1"/>
  <c r="P33" i="161" s="1"/>
  <c r="P41" i="138"/>
  <c r="Q47"/>
  <c r="N30" i="162"/>
  <c r="N27" i="163"/>
  <c r="K31"/>
  <c r="M31"/>
  <c r="Q23"/>
  <c r="BE19" i="180"/>
  <c r="L25" i="163"/>
  <c r="L26" s="1"/>
  <c r="L31" s="1"/>
  <c r="Q39"/>
  <c r="P39"/>
  <c r="N49" i="180"/>
  <c r="J31" i="163"/>
  <c r="P56" i="133"/>
  <c r="Q20" i="163"/>
  <c r="N21"/>
  <c r="N22" s="1"/>
  <c r="O21"/>
  <c r="O22" s="1"/>
  <c r="Q28" i="161"/>
  <c r="Q72" i="163"/>
  <c r="Q56" i="133"/>
  <c r="P48" i="162"/>
  <c r="P51" s="1"/>
  <c r="N28" i="163"/>
  <c r="M37" i="161"/>
  <c r="Q20" i="180" s="1"/>
  <c r="Q21" s="1"/>
  <c r="L41" i="162"/>
  <c r="P21" i="161"/>
  <c r="P25" s="1"/>
  <c r="BD34" i="180" s="1"/>
  <c r="Q27" i="161"/>
  <c r="P28"/>
  <c r="O29"/>
  <c r="S16" i="180" s="1"/>
  <c r="S17" s="1"/>
  <c r="S19" s="1"/>
  <c r="P27" i="161"/>
  <c r="P59" i="133"/>
  <c r="L29" i="162"/>
  <c r="L33" s="1"/>
  <c r="Q19" i="161"/>
  <c r="BE32" i="180" s="1"/>
  <c r="Q18" i="161"/>
  <c r="BE31" i="180" s="1"/>
  <c r="M29" i="162"/>
  <c r="M33" s="1"/>
  <c r="S23" i="180"/>
  <c r="J60" i="163"/>
  <c r="L95"/>
  <c r="L63"/>
  <c r="L93"/>
  <c r="M23" i="162"/>
  <c r="O71" i="163"/>
  <c r="O75" s="1"/>
  <c r="O92"/>
  <c r="L39" i="162"/>
  <c r="N50" i="180"/>
  <c r="J62" i="163"/>
  <c r="N78" i="133"/>
  <c r="O115" i="138" l="1"/>
  <c r="P112" s="1"/>
  <c r="P57"/>
  <c r="P49"/>
  <c r="P55" s="1"/>
  <c r="P56" s="1"/>
  <c r="O57"/>
  <c r="O49"/>
  <c r="O55" s="1"/>
  <c r="O73"/>
  <c r="O74" s="1"/>
  <c r="Q50"/>
  <c r="Q52" s="1"/>
  <c r="Q41"/>
  <c r="P40"/>
  <c r="P38"/>
  <c r="P39" s="1"/>
  <c r="P166"/>
  <c r="P167" s="1"/>
  <c r="P169" s="1"/>
  <c r="P173" s="1"/>
  <c r="P178" s="1"/>
  <c r="Q179" s="1"/>
  <c r="P113"/>
  <c r="P114" s="1"/>
  <c r="P27" i="163" s="1"/>
  <c r="O39" i="138"/>
  <c r="O42" s="1"/>
  <c r="P84"/>
  <c r="P85" s="1"/>
  <c r="P86" s="1"/>
  <c r="Q78"/>
  <c r="Q82" s="1"/>
  <c r="Q84" s="1"/>
  <c r="P72"/>
  <c r="Q66"/>
  <c r="Q70" s="1"/>
  <c r="Q72" s="1"/>
  <c r="Q73" s="1"/>
  <c r="Q74" s="1"/>
  <c r="O30" i="162"/>
  <c r="N31" i="163"/>
  <c r="Q29" i="161"/>
  <c r="P29"/>
  <c r="Q33"/>
  <c r="Q48" i="162"/>
  <c r="Q51" s="1"/>
  <c r="M41"/>
  <c r="N37" i="161"/>
  <c r="R20" i="180" s="1"/>
  <c r="R21" s="1"/>
  <c r="O28" i="163"/>
  <c r="Q59" i="133"/>
  <c r="Q21" i="161"/>
  <c r="Q25" s="1"/>
  <c r="BE34" i="180" s="1"/>
  <c r="N29" i="162"/>
  <c r="N33" s="1"/>
  <c r="J74" i="138"/>
  <c r="L59" i="163"/>
  <c r="K31" i="161"/>
  <c r="K35" s="1"/>
  <c r="J31"/>
  <c r="J35" s="1"/>
  <c r="K60" i="163"/>
  <c r="N59" i="162"/>
  <c r="R40" i="180" s="1"/>
  <c r="O75" i="133"/>
  <c r="Q35" i="180"/>
  <c r="P71" i="163"/>
  <c r="P75" s="1"/>
  <c r="P92"/>
  <c r="O25" l="1"/>
  <c r="O26" s="1"/>
  <c r="O31" s="1"/>
  <c r="P59" i="138"/>
  <c r="P42"/>
  <c r="P73"/>
  <c r="P74" s="1"/>
  <c r="P115"/>
  <c r="Q112" s="1"/>
  <c r="Q115" s="1"/>
  <c r="Q85"/>
  <c r="Q86" s="1"/>
  <c r="Q40"/>
  <c r="Q38"/>
  <c r="Q58"/>
  <c r="Q48"/>
  <c r="O56"/>
  <c r="O59" s="1"/>
  <c r="P30" i="162"/>
  <c r="Q27" i="163"/>
  <c r="P25"/>
  <c r="P26" s="1"/>
  <c r="N41" i="162"/>
  <c r="P37" i="161"/>
  <c r="Q28" i="163"/>
  <c r="P28"/>
  <c r="O37" i="161"/>
  <c r="S20" i="180" s="1"/>
  <c r="S21" s="1"/>
  <c r="Q30" i="162"/>
  <c r="K62" i="163"/>
  <c r="O50" i="180"/>
  <c r="M93" i="163"/>
  <c r="M95"/>
  <c r="M63"/>
  <c r="K61"/>
  <c r="O49" i="180"/>
  <c r="Q71" i="163"/>
  <c r="Q75" s="1"/>
  <c r="Q92"/>
  <c r="M39" i="162"/>
  <c r="N23"/>
  <c r="J58" i="163"/>
  <c r="J39" i="161"/>
  <c r="J145" i="138" s="1"/>
  <c r="L60" i="163"/>
  <c r="L31" i="161"/>
  <c r="L35" s="1"/>
  <c r="J180" i="138"/>
  <c r="K177" s="1"/>
  <c r="K180" s="1"/>
  <c r="L177" s="1"/>
  <c r="L180" s="1"/>
  <c r="M177" s="1"/>
  <c r="M180" s="1"/>
  <c r="N177" s="1"/>
  <c r="N180" s="1"/>
  <c r="O177" s="1"/>
  <c r="O180" s="1"/>
  <c r="P177" s="1"/>
  <c r="P180" s="1"/>
  <c r="Q177" s="1"/>
  <c r="Q180" s="1"/>
  <c r="O78" i="133"/>
  <c r="Q57" i="138" l="1"/>
  <c r="Q49"/>
  <c r="Q55" s="1"/>
  <c r="Q39"/>
  <c r="Q42" s="1"/>
  <c r="I86"/>
  <c r="K24" i="135" s="1"/>
  <c r="M24" s="1"/>
  <c r="J40" i="162"/>
  <c r="P21" i="163"/>
  <c r="P22" s="1"/>
  <c r="P31" s="1"/>
  <c r="Q21"/>
  <c r="Q22" s="1"/>
  <c r="O41" i="162"/>
  <c r="Q37" i="161"/>
  <c r="O29" i="162"/>
  <c r="O33" s="1"/>
  <c r="P29"/>
  <c r="P33" s="1"/>
  <c r="M59" i="163"/>
  <c r="M31" i="161"/>
  <c r="M35" s="1"/>
  <c r="K58" i="163"/>
  <c r="K39" i="161"/>
  <c r="K145" i="138" s="1"/>
  <c r="O59" i="162"/>
  <c r="S40" i="180" s="1"/>
  <c r="P75" i="133"/>
  <c r="R35" i="180"/>
  <c r="J57" i="163"/>
  <c r="J63" i="162"/>
  <c r="J41" i="161"/>
  <c r="M60" i="163"/>
  <c r="Q25" l="1"/>
  <c r="Q26" s="1"/>
  <c r="Q31" s="1"/>
  <c r="Q56" i="138"/>
  <c r="Q59" s="1"/>
  <c r="I59" s="1"/>
  <c r="K22" i="135" s="1"/>
  <c r="M22" s="1"/>
  <c r="K152" i="138"/>
  <c r="K63" i="162"/>
  <c r="K40"/>
  <c r="I42" i="138"/>
  <c r="K21" i="135" s="1"/>
  <c r="M21" s="1"/>
  <c r="Q41" i="162"/>
  <c r="P41"/>
  <c r="N59" i="163"/>
  <c r="K41" i="161"/>
  <c r="K57" i="163"/>
  <c r="N31" i="161"/>
  <c r="L62" i="163"/>
  <c r="P50" i="180"/>
  <c r="N93" i="163"/>
  <c r="N95"/>
  <c r="N63"/>
  <c r="P49" i="180"/>
  <c r="L61" i="163"/>
  <c r="O23" i="162"/>
  <c r="N39"/>
  <c r="L58" i="163"/>
  <c r="L39" i="161"/>
  <c r="L145" i="138" s="1"/>
  <c r="L152" s="1"/>
  <c r="L40" i="162" l="1"/>
  <c r="L63"/>
  <c r="N35" i="161"/>
  <c r="Q75" i="133"/>
  <c r="P78"/>
  <c r="Q29" i="162"/>
  <c r="Q33" s="1"/>
  <c r="M58" i="163"/>
  <c r="N60"/>
  <c r="S35" i="180"/>
  <c r="L57" i="163"/>
  <c r="L41" i="161"/>
  <c r="P59" i="162"/>
  <c r="M40" l="1"/>
  <c r="M39" i="161"/>
  <c r="M145" i="138" s="1"/>
  <c r="M152" s="1"/>
  <c r="Q50" i="180"/>
  <c r="M62" i="163"/>
  <c r="O95"/>
  <c r="O63"/>
  <c r="O93"/>
  <c r="O39" i="162"/>
  <c r="P23"/>
  <c r="M61" i="163"/>
  <c r="Q49" i="180"/>
  <c r="N52"/>
  <c r="J64" i="163"/>
  <c r="J67" s="1"/>
  <c r="Q78" i="133"/>
  <c r="M63" i="162" l="1"/>
  <c r="N40"/>
  <c r="M57" i="163"/>
  <c r="M41" i="161"/>
  <c r="O59" i="163"/>
  <c r="N51" i="180"/>
  <c r="O31" i="161"/>
  <c r="O35" s="1"/>
  <c r="N39"/>
  <c r="N145" i="138" s="1"/>
  <c r="N152" s="1"/>
  <c r="Q59" i="162"/>
  <c r="O60" i="163"/>
  <c r="J91"/>
  <c r="J94" s="1"/>
  <c r="N63" i="162" l="1"/>
  <c r="O40"/>
  <c r="N58" i="163"/>
  <c r="N57"/>
  <c r="I74" i="138"/>
  <c r="K23" i="135" s="1"/>
  <c r="M23" s="1"/>
  <c r="N41" i="161"/>
  <c r="N62" i="163"/>
  <c r="R50" i="180"/>
  <c r="P59" i="163"/>
  <c r="P63"/>
  <c r="P95"/>
  <c r="P93"/>
  <c r="R49" i="180"/>
  <c r="N61" i="163"/>
  <c r="Q23" i="162"/>
  <c r="P39"/>
  <c r="J98" i="163"/>
  <c r="J101" s="1"/>
  <c r="J148" i="138" s="1"/>
  <c r="J149" s="1"/>
  <c r="P60" i="163"/>
  <c r="Q40" i="162" l="1"/>
  <c r="P40"/>
  <c r="O58" i="163"/>
  <c r="O39" i="161"/>
  <c r="O145" i="138" s="1"/>
  <c r="O152" s="1"/>
  <c r="P31" i="161"/>
  <c r="P35" s="1"/>
  <c r="K64" i="163"/>
  <c r="K67" s="1"/>
  <c r="O63" i="162" l="1"/>
  <c r="O57" i="163"/>
  <c r="K91"/>
  <c r="K94" s="1"/>
  <c r="O52" i="180"/>
  <c r="O41" i="161"/>
  <c r="S50" i="180"/>
  <c r="O62" i="163"/>
  <c r="Q59"/>
  <c r="Q93"/>
  <c r="Q95"/>
  <c r="Q63"/>
  <c r="S49" i="180"/>
  <c r="O61" i="163"/>
  <c r="Q39" i="162"/>
  <c r="K98" i="163" l="1"/>
  <c r="K101" s="1"/>
  <c r="K148" i="138" s="1"/>
  <c r="O51" i="180"/>
  <c r="P62" i="163" l="1"/>
  <c r="L64"/>
  <c r="L67" s="1"/>
  <c r="P58"/>
  <c r="P39" i="161"/>
  <c r="P145" i="138" s="1"/>
  <c r="P152" s="1"/>
  <c r="P61" i="163"/>
  <c r="P63" i="162" l="1"/>
  <c r="Q31" i="161"/>
  <c r="Q35" s="1"/>
  <c r="Q60" i="163"/>
  <c r="L91"/>
  <c r="L94" s="1"/>
  <c r="P52" i="180"/>
  <c r="P57" i="163"/>
  <c r="P41" i="161"/>
  <c r="L98" i="163" l="1"/>
  <c r="L101" s="1"/>
  <c r="L148" i="138" s="1"/>
  <c r="P51" i="180"/>
  <c r="Q62" i="163"/>
  <c r="Q61"/>
  <c r="Q39" i="161" l="1"/>
  <c r="Q145" i="138" s="1"/>
  <c r="Q152" s="1"/>
  <c r="Q58" i="163"/>
  <c r="M64"/>
  <c r="M67" s="1"/>
  <c r="Q63" i="162" l="1"/>
  <c r="Q57" i="163"/>
  <c r="Q41" i="161"/>
  <c r="M91" i="163"/>
  <c r="M94" s="1"/>
  <c r="M98" s="1"/>
  <c r="M101" s="1"/>
  <c r="M148" i="138" s="1"/>
  <c r="Q52" i="180"/>
  <c r="Q51" l="1"/>
  <c r="N64" i="163" l="1"/>
  <c r="N67" s="1"/>
  <c r="N91" l="1"/>
  <c r="N94" s="1"/>
  <c r="N98" s="1"/>
  <c r="N101" s="1"/>
  <c r="N148" i="138" s="1"/>
  <c r="R52" i="180"/>
  <c r="I41" i="161"/>
  <c r="K26" i="135" s="1"/>
  <c r="M26" s="1"/>
  <c r="R51" i="180" l="1"/>
  <c r="O64" i="163" l="1"/>
  <c r="O67" s="1"/>
  <c r="O91" l="1"/>
  <c r="O94" s="1"/>
  <c r="S52" i="180"/>
  <c r="O98" i="163" l="1"/>
  <c r="O101" s="1"/>
  <c r="O148" i="138" s="1"/>
  <c r="S51" i="180"/>
  <c r="P91" i="163" l="1"/>
  <c r="P94" s="1"/>
  <c r="P64"/>
  <c r="P67" s="1"/>
  <c r="P98" l="1"/>
  <c r="P101" s="1"/>
  <c r="P148" i="138" s="1"/>
  <c r="Q91" i="163" l="1"/>
  <c r="Q94" s="1"/>
  <c r="Q64"/>
  <c r="Q67" s="1"/>
  <c r="Q98" l="1"/>
  <c r="Q101" s="1"/>
  <c r="Q148" i="138" s="1"/>
  <c r="N31" i="180"/>
  <c r="Q31" l="1"/>
  <c r="S31"/>
  <c r="O31"/>
  <c r="P31"/>
  <c r="R31"/>
  <c r="J146" i="138"/>
  <c r="J152" l="1"/>
  <c r="J153" l="1"/>
  <c r="J129" s="1"/>
  <c r="J64" i="162" l="1"/>
  <c r="J130" i="138"/>
  <c r="J47" i="163" s="1"/>
  <c r="J155" i="138"/>
  <c r="J83" i="163" l="1"/>
  <c r="J84" s="1"/>
  <c r="N60" i="180"/>
  <c r="N61" s="1"/>
  <c r="N63" s="1"/>
  <c r="J102" i="163"/>
  <c r="J103" s="1"/>
  <c r="J48"/>
  <c r="J131" i="138"/>
  <c r="K128" s="1"/>
  <c r="J42" i="162" l="1"/>
  <c r="J44" s="1"/>
  <c r="J133" i="138"/>
  <c r="J50" i="163"/>
  <c r="J21" i="162" s="1"/>
  <c r="J22" s="1"/>
  <c r="J86" i="163"/>
  <c r="J106" s="1"/>
  <c r="J108" s="1"/>
  <c r="J105" l="1"/>
  <c r="J109" s="1"/>
  <c r="J73" i="162"/>
  <c r="K20"/>
  <c r="K147" i="138" s="1"/>
  <c r="K149" s="1"/>
  <c r="J25" i="162"/>
  <c r="J134" i="138"/>
  <c r="J135"/>
  <c r="J53" i="162"/>
  <c r="N34" i="180"/>
  <c r="N36" s="1"/>
  <c r="AY54" s="1"/>
  <c r="J110" i="163"/>
  <c r="J107" l="1"/>
  <c r="J136" i="138"/>
  <c r="J111" i="163"/>
  <c r="N30" i="180"/>
  <c r="N32" s="1"/>
  <c r="J35" i="162"/>
  <c r="J55" s="1"/>
  <c r="N38" i="180" l="1"/>
  <c r="AX53"/>
  <c r="J62" i="162"/>
  <c r="J65" s="1"/>
  <c r="J67" l="1"/>
  <c r="J69" s="1"/>
  <c r="N41" i="180"/>
  <c r="N42" s="1"/>
  <c r="K61" i="162"/>
  <c r="K144" i="138" s="1"/>
  <c r="K146" s="1"/>
  <c r="K153" s="1"/>
  <c r="K129" l="1"/>
  <c r="K155"/>
  <c r="J70" i="162"/>
  <c r="J71" s="1"/>
  <c r="K130" i="138" l="1"/>
  <c r="K131" s="1"/>
  <c r="L128" s="1"/>
  <c r="K64" i="162"/>
  <c r="K65" s="1"/>
  <c r="K47" i="163" l="1"/>
  <c r="K83" s="1"/>
  <c r="K84" s="1"/>
  <c r="K133" i="138"/>
  <c r="K42" i="162"/>
  <c r="K44" s="1"/>
  <c r="O41" i="180"/>
  <c r="O42" s="1"/>
  <c r="K67" i="162"/>
  <c r="L61"/>
  <c r="L144" i="138" s="1"/>
  <c r="L146" s="1"/>
  <c r="L153" s="1"/>
  <c r="K48" i="163"/>
  <c r="O60" i="180"/>
  <c r="O61" s="1"/>
  <c r="O63" s="1"/>
  <c r="K102" i="163" l="1"/>
  <c r="K103" s="1"/>
  <c r="K135" i="138"/>
  <c r="K134"/>
  <c r="L129"/>
  <c r="L155"/>
  <c r="K86" i="163"/>
  <c r="K106" s="1"/>
  <c r="K108" s="1"/>
  <c r="K53" i="162"/>
  <c r="O34" i="180"/>
  <c r="O36" s="1"/>
  <c r="BA54" s="1"/>
  <c r="K50" i="163"/>
  <c r="K21" i="162" s="1"/>
  <c r="K22" s="1"/>
  <c r="K136" i="138" l="1"/>
  <c r="L130"/>
  <c r="L131" s="1"/>
  <c r="M128" s="1"/>
  <c r="K73" i="162"/>
  <c r="K25"/>
  <c r="L20"/>
  <c r="L147" i="138" s="1"/>
  <c r="L149" s="1"/>
  <c r="K105" i="163"/>
  <c r="L133" i="138" l="1"/>
  <c r="L134" s="1"/>
  <c r="L47" i="163"/>
  <c r="K109"/>
  <c r="K107"/>
  <c r="K110"/>
  <c r="K35" i="162"/>
  <c r="K55" s="1"/>
  <c r="K69" s="1"/>
  <c r="O30" i="180"/>
  <c r="O32" s="1"/>
  <c r="L135" i="138" l="1"/>
  <c r="L136" s="1"/>
  <c r="K111" i="163"/>
  <c r="L64" i="162"/>
  <c r="L65" s="1"/>
  <c r="P41" i="180" s="1"/>
  <c r="P42" s="1"/>
  <c r="K70" i="162"/>
  <c r="K71" s="1"/>
  <c r="O38" i="180"/>
  <c r="P60"/>
  <c r="P61" s="1"/>
  <c r="P63" s="1"/>
  <c r="L102" i="163"/>
  <c r="L103" s="1"/>
  <c r="L48"/>
  <c r="L83"/>
  <c r="L84" s="1"/>
  <c r="L67" i="162" l="1"/>
  <c r="M61"/>
  <c r="M144" i="138" s="1"/>
  <c r="M146" s="1"/>
  <c r="M153" s="1"/>
  <c r="L42" i="162"/>
  <c r="L44" s="1"/>
  <c r="L53" s="1"/>
  <c r="L86" i="163"/>
  <c r="L106" s="1"/>
  <c r="L108" s="1"/>
  <c r="L50"/>
  <c r="L21" i="162" s="1"/>
  <c r="L22" s="1"/>
  <c r="AX55" i="180"/>
  <c r="BA53"/>
  <c r="BA55"/>
  <c r="BB55" s="1"/>
  <c r="M129" i="138" l="1"/>
  <c r="M155"/>
  <c r="P34" i="180"/>
  <c r="P36" s="1"/>
  <c r="L105" i="163"/>
  <c r="L107" s="1"/>
  <c r="AZ54" i="180"/>
  <c r="BB54" s="1"/>
  <c r="BB53"/>
  <c r="L73" i="162"/>
  <c r="M20"/>
  <c r="M147" i="138" s="1"/>
  <c r="M149" s="1"/>
  <c r="L25" i="162"/>
  <c r="M130" i="138" l="1"/>
  <c r="M131" s="1"/>
  <c r="N128" s="1"/>
  <c r="L110" i="163"/>
  <c r="L109"/>
  <c r="P30" i="180"/>
  <c r="P32" s="1"/>
  <c r="P38" s="1"/>
  <c r="L35" i="162"/>
  <c r="L55" s="1"/>
  <c r="L69" s="1"/>
  <c r="M133" i="138" l="1"/>
  <c r="M135" s="1"/>
  <c r="L111" i="163"/>
  <c r="L70" i="162"/>
  <c r="L71" s="1"/>
  <c r="M134" i="138" l="1"/>
  <c r="M136" s="1"/>
  <c r="M47" i="163"/>
  <c r="M64" i="162"/>
  <c r="M65" s="1"/>
  <c r="M42" l="1"/>
  <c r="M44" s="1"/>
  <c r="N61"/>
  <c r="N144" i="138" s="1"/>
  <c r="N146" s="1"/>
  <c r="N153" s="1"/>
  <c r="Q41" i="180"/>
  <c r="Q42" s="1"/>
  <c r="M67" i="162"/>
  <c r="Q60" i="180"/>
  <c r="Q61" s="1"/>
  <c r="Q63" s="1"/>
  <c r="M48" i="163"/>
  <c r="M102"/>
  <c r="M103" s="1"/>
  <c r="M83"/>
  <c r="M84" s="1"/>
  <c r="N129" i="138" l="1"/>
  <c r="N155"/>
  <c r="M86" i="163"/>
  <c r="M106" s="1"/>
  <c r="M108" s="1"/>
  <c r="M50"/>
  <c r="M21" i="162" s="1"/>
  <c r="M22" s="1"/>
  <c r="Q34" i="180"/>
  <c r="Q36" s="1"/>
  <c r="M53" i="162"/>
  <c r="N130" i="138" l="1"/>
  <c r="N131" s="1"/>
  <c r="O128" s="1"/>
  <c r="M105" i="163"/>
  <c r="N20" i="162"/>
  <c r="N147" i="138" s="1"/>
  <c r="N149" s="1"/>
  <c r="M73" i="162"/>
  <c r="M25"/>
  <c r="N133" i="138" l="1"/>
  <c r="N134" s="1"/>
  <c r="N64" i="162"/>
  <c r="N65" s="1"/>
  <c r="N67" s="1"/>
  <c r="N47" i="163"/>
  <c r="R60" i="180" s="1"/>
  <c r="R61" s="1"/>
  <c r="R63" s="1"/>
  <c r="M110" i="163"/>
  <c r="M107"/>
  <c r="M109"/>
  <c r="N42" i="162"/>
  <c r="N44" s="1"/>
  <c r="M35"/>
  <c r="M55" s="1"/>
  <c r="M69" s="1"/>
  <c r="Q30" i="180"/>
  <c r="Q32" s="1"/>
  <c r="Q38" s="1"/>
  <c r="R41"/>
  <c r="R42" s="1"/>
  <c r="N102" i="163"/>
  <c r="N103" s="1"/>
  <c r="O61" i="162" l="1"/>
  <c r="O144" i="138" s="1"/>
  <c r="O146" s="1"/>
  <c r="O153" s="1"/>
  <c r="O155" s="1"/>
  <c r="N135"/>
  <c r="N136" s="1"/>
  <c r="O129"/>
  <c r="N83" i="163"/>
  <c r="N84" s="1"/>
  <c r="N86" s="1"/>
  <c r="N106" s="1"/>
  <c r="N108" s="1"/>
  <c r="N48"/>
  <c r="N50" s="1"/>
  <c r="N21" i="162" s="1"/>
  <c r="N22" s="1"/>
  <c r="M111" i="163"/>
  <c r="M70" i="162"/>
  <c r="M71" s="1"/>
  <c r="R34" i="180"/>
  <c r="R36" s="1"/>
  <c r="N53" i="162"/>
  <c r="O130" i="138" l="1"/>
  <c r="O131" s="1"/>
  <c r="P128" s="1"/>
  <c r="N25" i="162"/>
  <c r="O20"/>
  <c r="O147" i="138" s="1"/>
  <c r="O149" s="1"/>
  <c r="N73" i="162"/>
  <c r="N105" i="163"/>
  <c r="O133" i="138" l="1"/>
  <c r="N35" i="162"/>
  <c r="N55" s="1"/>
  <c r="N69" s="1"/>
  <c r="R30" i="180"/>
  <c r="R32" s="1"/>
  <c r="R38" s="1"/>
  <c r="N107" i="163"/>
  <c r="N110"/>
  <c r="N109"/>
  <c r="O135" i="138" l="1"/>
  <c r="O134"/>
  <c r="N111" i="163"/>
  <c r="O64" i="162"/>
  <c r="O65" s="1"/>
  <c r="O47" i="163"/>
  <c r="N70" i="162"/>
  <c r="N71" s="1"/>
  <c r="O136" i="138" l="1"/>
  <c r="O102" i="163"/>
  <c r="O103" s="1"/>
  <c r="O83"/>
  <c r="O84" s="1"/>
  <c r="S60" i="180"/>
  <c r="S61" s="1"/>
  <c r="S63" s="1"/>
  <c r="O48" i="163"/>
  <c r="O67" i="162"/>
  <c r="S41" i="180"/>
  <c r="S42" s="1"/>
  <c r="P61" i="162"/>
  <c r="P144" i="138" s="1"/>
  <c r="P146" s="1"/>
  <c r="P153" s="1"/>
  <c r="P129" l="1"/>
  <c r="P155"/>
  <c r="O42" i="162"/>
  <c r="O44" s="1"/>
  <c r="O50" i="163"/>
  <c r="O21" i="162" s="1"/>
  <c r="O22" s="1"/>
  <c r="O86" i="163"/>
  <c r="O106" s="1"/>
  <c r="O108" s="1"/>
  <c r="P130" i="138" l="1"/>
  <c r="P131" s="1"/>
  <c r="Q128" s="1"/>
  <c r="O73" i="162"/>
  <c r="O25"/>
  <c r="P20"/>
  <c r="P147" i="138" s="1"/>
  <c r="P149" s="1"/>
  <c r="S34" i="180"/>
  <c r="S36" s="1"/>
  <c r="O53" i="162"/>
  <c r="O105" i="163"/>
  <c r="P133" i="138" l="1"/>
  <c r="O110" i="163"/>
  <c r="O107"/>
  <c r="O109"/>
  <c r="S30" i="180"/>
  <c r="S32" s="1"/>
  <c r="S38" s="1"/>
  <c r="O35" i="162"/>
  <c r="O55" s="1"/>
  <c r="O69" s="1"/>
  <c r="P64"/>
  <c r="P65" s="1"/>
  <c r="P134" i="138" l="1"/>
  <c r="P135"/>
  <c r="O111" i="163"/>
  <c r="P67" i="162"/>
  <c r="Q61"/>
  <c r="Q144" i="138" s="1"/>
  <c r="Q146" s="1"/>
  <c r="Q153" s="1"/>
  <c r="O70" i="162"/>
  <c r="O71" s="1"/>
  <c r="P47" i="163"/>
  <c r="P136" i="138" l="1"/>
  <c r="Q129"/>
  <c r="Q155"/>
  <c r="P42" i="162"/>
  <c r="P44" s="1"/>
  <c r="P53" s="1"/>
  <c r="P102" i="163"/>
  <c r="P103" s="1"/>
  <c r="P48"/>
  <c r="P83"/>
  <c r="P84" s="1"/>
  <c r="Q130" i="138" l="1"/>
  <c r="Q131" s="1"/>
  <c r="Q133" s="1"/>
  <c r="P50" i="163"/>
  <c r="P21" i="162" s="1"/>
  <c r="P22" s="1"/>
  <c r="P86" i="163"/>
  <c r="P106" s="1"/>
  <c r="P108" s="1"/>
  <c r="Q135" i="138" l="1"/>
  <c r="Q134"/>
  <c r="P105" i="163"/>
  <c r="Q20" i="162"/>
  <c r="Q147" i="138" s="1"/>
  <c r="Q149" s="1"/>
  <c r="P25" i="162"/>
  <c r="P35" s="1"/>
  <c r="P55" s="1"/>
  <c r="P69" s="1"/>
  <c r="P73"/>
  <c r="Q136" i="138" l="1"/>
  <c r="P70" i="162"/>
  <c r="P71" s="1"/>
  <c r="P107" i="163"/>
  <c r="P110"/>
  <c r="P109"/>
  <c r="P111" l="1"/>
  <c r="I155" i="138"/>
  <c r="K62" i="135" s="1"/>
  <c r="M62" s="1"/>
  <c r="Q64" i="162" l="1"/>
  <c r="Q65" s="1"/>
  <c r="Q67" s="1"/>
  <c r="Q47" i="163"/>
  <c r="Q48" l="1"/>
  <c r="Q102"/>
  <c r="Q103" s="1"/>
  <c r="Q83"/>
  <c r="Q84" s="1"/>
  <c r="Q86" s="1"/>
  <c r="Q106" s="1"/>
  <c r="Q108" s="1"/>
  <c r="Q50" l="1"/>
  <c r="Q21" i="162" s="1"/>
  <c r="Q22" s="1"/>
  <c r="Q42"/>
  <c r="Q44" s="1"/>
  <c r="Q53" s="1"/>
  <c r="Q105" i="163" l="1"/>
  <c r="Q109" s="1"/>
  <c r="I136" i="138"/>
  <c r="K25" i="135" s="1"/>
  <c r="M25" s="1"/>
  <c r="Q110" i="163"/>
  <c r="Q73" i="162"/>
  <c r="I73" s="1"/>
  <c r="K63" i="135" s="1"/>
  <c r="M63" s="1"/>
  <c r="Q25" i="162"/>
  <c r="Q35" s="1"/>
  <c r="Q55" s="1"/>
  <c r="Q69" s="1"/>
  <c r="Q70" s="1"/>
  <c r="Q71" s="1"/>
  <c r="I71" s="1"/>
  <c r="K27" i="135" s="1"/>
  <c r="M27" s="1"/>
  <c r="Q107" i="163" l="1"/>
  <c r="M65" i="135"/>
  <c r="I56" s="1"/>
  <c r="Q111" i="163"/>
  <c r="I111" s="1"/>
  <c r="K28" i="135" s="1"/>
  <c r="M28" s="1"/>
  <c r="I55" l="1"/>
  <c r="M30"/>
  <c r="I14" l="1"/>
  <c r="C10" i="177" s="1"/>
  <c r="I13" i="135"/>
  <c r="B2" i="163" l="1"/>
  <c r="B2" i="189"/>
  <c r="B2" i="176"/>
  <c r="B2" i="182"/>
  <c r="B2" i="133"/>
  <c r="C11" i="168"/>
  <c r="C11" i="184"/>
  <c r="B2" i="122"/>
  <c r="B2" i="174"/>
  <c r="C11" i="132"/>
  <c r="C11" i="127"/>
  <c r="C11" i="186"/>
  <c r="B2" i="128"/>
  <c r="B2" i="130"/>
  <c r="B2" i="180"/>
  <c r="C11" i="137"/>
  <c r="C11" i="134"/>
  <c r="B2" i="161"/>
  <c r="C11" i="169"/>
  <c r="C11" i="183"/>
  <c r="B2" i="135"/>
  <c r="B2" i="162"/>
  <c r="C11" i="187"/>
  <c r="C11" i="188"/>
  <c r="C11" i="124"/>
  <c r="B2" i="138"/>
  <c r="C11" i="123"/>
  <c r="B2" i="131"/>
</calcChain>
</file>

<file path=xl/comments1.xml><?xml version="1.0" encoding="utf-8"?>
<comments xmlns="http://schemas.openxmlformats.org/spreadsheetml/2006/main">
  <authors>
    <author>Best Practice Modelling</author>
  </authors>
  <commentList>
    <comment ref="G12" authorId="0">
      <text>
        <r>
          <rPr>
            <b/>
            <sz val="9"/>
            <color indexed="81"/>
            <rFont val="Tahoma"/>
            <family val="2"/>
          </rPr>
          <t>Best Practice Modelling:</t>
        </r>
        <r>
          <rPr>
            <sz val="9"/>
            <color indexed="81"/>
            <rFont val="Tahoma"/>
            <family val="2"/>
          </rPr>
          <t xml:space="preserve">
Formula schematic used to explain complex formulae (BPMC 7-3).</t>
        </r>
      </text>
    </comment>
  </commentList>
</comments>
</file>

<file path=xl/comments2.xml><?xml version="1.0" encoding="utf-8"?>
<comments xmlns="http://schemas.openxmlformats.org/spreadsheetml/2006/main">
  <authors>
    <author>Michael Hutchens</author>
  </authors>
  <commentList>
    <comment ref="E46" authorId="0">
      <text>
        <r>
          <rPr>
            <sz val="9"/>
            <color indexed="81"/>
            <rFont val="Tahoma"/>
            <family val="2"/>
          </rPr>
          <t>Data time series sheets will end at this date.</t>
        </r>
      </text>
    </comment>
    <comment ref="E47" authorId="0">
      <text>
        <r>
          <rPr>
            <sz val="9"/>
            <color indexed="81"/>
            <rFont val="Tahoma"/>
            <family val="2"/>
          </rPr>
          <t>Total number of active columns on data time series sheets.</t>
        </r>
      </text>
    </comment>
    <comment ref="E48" authorId="0">
      <text>
        <r>
          <rPr>
            <sz val="9"/>
            <color indexed="81"/>
            <rFont val="Tahoma"/>
            <family val="2"/>
          </rPr>
          <t>Period number of last full period on data time series sheets. First period is always treated as a full period if more than one total period.</t>
        </r>
      </text>
    </comment>
    <comment ref="E49" authorId="0">
      <text>
        <r>
          <rPr>
            <sz val="9"/>
            <color indexed="81"/>
            <rFont val="Tahoma"/>
            <family val="2"/>
          </rPr>
          <t>Indicates whether or not the final active period of data time series sheets is a partial period.</t>
        </r>
      </text>
    </comment>
  </commentList>
</comments>
</file>

<file path=xl/comments3.xml><?xml version="1.0" encoding="utf-8"?>
<comments xmlns="http://schemas.openxmlformats.org/spreadsheetml/2006/main">
  <authors>
    <author>Michael Hutchens</author>
  </authors>
  <commentList>
    <comment ref="I34" authorId="0">
      <text>
        <r>
          <rPr>
            <b/>
            <sz val="9"/>
            <color indexed="81"/>
            <rFont val="Tahoma"/>
            <family val="2"/>
          </rPr>
          <t xml:space="preserve">Debtors/Creditors Days
</t>
        </r>
        <r>
          <rPr>
            <sz val="9"/>
            <color indexed="81"/>
            <rFont val="Tahoma"/>
            <family val="2"/>
          </rPr>
          <t>Error if debtors days or creditors days assumptions exceed the number of days in the period.</t>
        </r>
      </text>
    </comment>
  </commentList>
</comments>
</file>

<file path=xl/comments4.xml><?xml version="1.0" encoding="utf-8"?>
<comments xmlns="http://schemas.openxmlformats.org/spreadsheetml/2006/main">
  <authors>
    <author>Best Practice Modelling</author>
    <author>Michael Hutchens</author>
  </authors>
  <commentList>
    <comment ref="I18" authorId="0">
      <text>
        <r>
          <rPr>
            <b/>
            <sz val="9"/>
            <color indexed="81"/>
            <rFont val="Tahoma"/>
            <family val="2"/>
          </rPr>
          <t>Best Practice Modelling:</t>
        </r>
        <r>
          <rPr>
            <sz val="9"/>
            <color indexed="81"/>
            <rFont val="Tahoma"/>
            <family val="2"/>
          </rPr>
          <t xml:space="preserve">
Consistent formula across rows and down columns (BPMS 8-1).</t>
        </r>
      </text>
    </comment>
    <comment ref="H26" authorId="0">
      <text>
        <r>
          <rPr>
            <b/>
            <sz val="9"/>
            <color indexed="81"/>
            <rFont val="Tahoma"/>
            <family val="2"/>
          </rPr>
          <t>Best Practice Modelling:</t>
        </r>
        <r>
          <rPr>
            <sz val="9"/>
            <color indexed="81"/>
            <rFont val="Tahoma"/>
            <family val="2"/>
          </rPr>
          <t xml:space="preserve">
No circular references (BPMS 8-3).</t>
        </r>
      </text>
    </comment>
    <comment ref="K35" authorId="0">
      <text>
        <r>
          <rPr>
            <b/>
            <sz val="9"/>
            <color indexed="81"/>
            <rFont val="Tahoma"/>
            <family val="2"/>
          </rPr>
          <t>Best Practice Modelling:</t>
        </r>
        <r>
          <rPr>
            <sz val="9"/>
            <color indexed="81"/>
            <rFont val="Tahoma"/>
            <family val="2"/>
          </rPr>
          <t xml:space="preserve">
Mixed cell content does NOT contain assumptions (BPMS 8-2).</t>
        </r>
      </text>
    </comment>
    <comment ref="I42" authorId="0">
      <text>
        <r>
          <rPr>
            <b/>
            <sz val="9"/>
            <color indexed="81"/>
            <rFont val="Tahoma"/>
            <family val="2"/>
          </rPr>
          <t xml:space="preserve">Error Check
</t>
        </r>
        <r>
          <rPr>
            <sz val="9"/>
            <color indexed="81"/>
            <rFont val="Tahoma"/>
            <family val="2"/>
          </rPr>
          <t>Flags the existence of errors.</t>
        </r>
      </text>
    </comment>
    <comment ref="I59" authorId="0">
      <text>
        <r>
          <rPr>
            <b/>
            <sz val="9"/>
            <color indexed="81"/>
            <rFont val="Tahoma"/>
            <family val="2"/>
          </rPr>
          <t xml:space="preserve">Error Check
</t>
        </r>
        <r>
          <rPr>
            <sz val="9"/>
            <color indexed="81"/>
            <rFont val="Tahoma"/>
            <family val="2"/>
          </rPr>
          <t>Flags the existence of errors.</t>
        </r>
      </text>
    </comment>
    <comment ref="I74" authorId="0">
      <text>
        <r>
          <rPr>
            <b/>
            <sz val="9"/>
            <color indexed="81"/>
            <rFont val="Tahoma"/>
            <family val="2"/>
          </rPr>
          <t xml:space="preserve">Error Check
</t>
        </r>
        <r>
          <rPr>
            <sz val="9"/>
            <color indexed="81"/>
            <rFont val="Tahoma"/>
            <family val="2"/>
          </rPr>
          <t>Flags the existence of errors.</t>
        </r>
      </text>
    </comment>
    <comment ref="I86" authorId="0">
      <text>
        <r>
          <rPr>
            <b/>
            <sz val="9"/>
            <color indexed="81"/>
            <rFont val="Tahoma"/>
            <family val="2"/>
          </rPr>
          <t xml:space="preserve">Error Check
</t>
        </r>
        <r>
          <rPr>
            <sz val="9"/>
            <color indexed="81"/>
            <rFont val="Tahoma"/>
            <family val="2"/>
          </rPr>
          <t>Flags the existence of errors.</t>
        </r>
      </text>
    </comment>
    <comment ref="I136" authorId="1">
      <text>
        <r>
          <rPr>
            <b/>
            <sz val="9"/>
            <color indexed="81"/>
            <rFont val="Tahoma"/>
            <family val="2"/>
          </rPr>
          <t xml:space="preserve">Error Check
</t>
        </r>
        <r>
          <rPr>
            <sz val="9"/>
            <color indexed="81"/>
            <rFont val="Tahoma"/>
            <family val="2"/>
          </rPr>
          <t>Flags the existence of errors.</t>
        </r>
      </text>
    </comment>
    <comment ref="I155" authorId="1">
      <text>
        <r>
          <rPr>
            <b/>
            <sz val="9"/>
            <color indexed="81"/>
            <rFont val="Tahoma"/>
            <family val="2"/>
          </rPr>
          <t xml:space="preserve">Alert Check
</t>
        </r>
        <r>
          <rPr>
            <sz val="9"/>
            <color indexed="81"/>
            <rFont val="Tahoma"/>
            <family val="2"/>
          </rPr>
          <t>Flags the occurrence of designated events.</t>
        </r>
      </text>
    </comment>
  </commentList>
</comments>
</file>

<file path=xl/comments5.xml><?xml version="1.0" encoding="utf-8"?>
<comments xmlns="http://schemas.openxmlformats.org/spreadsheetml/2006/main">
  <authors>
    <author>Michael Hutchens</author>
  </authors>
  <commentList>
    <comment ref="C25" authorId="0">
      <text>
        <r>
          <rPr>
            <sz val="8"/>
            <color indexed="81"/>
            <rFont val="Tahoma"/>
            <family val="2"/>
          </rPr>
          <t>EBITDA = Earnings Before Interest, Tax, Depreciation &amp; Amortisation</t>
        </r>
      </text>
    </comment>
    <comment ref="C31" authorId="0">
      <text>
        <r>
          <rPr>
            <sz val="8"/>
            <color indexed="81"/>
            <rFont val="Tahoma"/>
            <family val="2"/>
          </rPr>
          <t>EBIT = Earnings Before Interest &amp; Tax</t>
        </r>
      </text>
    </comment>
    <comment ref="I41" authorId="0">
      <text>
        <r>
          <rPr>
            <b/>
            <sz val="9"/>
            <color indexed="81"/>
            <rFont val="Tahoma"/>
            <family val="2"/>
          </rPr>
          <t xml:space="preserve">Error Check
</t>
        </r>
        <r>
          <rPr>
            <sz val="9"/>
            <color indexed="81"/>
            <rFont val="Tahoma"/>
            <family val="2"/>
          </rPr>
          <t>Flags the existence of errors.</t>
        </r>
      </text>
    </comment>
  </commentList>
</comments>
</file>

<file path=xl/comments6.xml><?xml version="1.0" encoding="utf-8"?>
<comments xmlns="http://schemas.openxmlformats.org/spreadsheetml/2006/main">
  <authors>
    <author>Michael Hutchens</author>
  </authors>
  <commentList>
    <comment ref="I71" authorId="0">
      <text>
        <r>
          <rPr>
            <b/>
            <sz val="9"/>
            <color indexed="81"/>
            <rFont val="Tahoma"/>
            <family val="2"/>
          </rPr>
          <t xml:space="preserve">Error Check
</t>
        </r>
        <r>
          <rPr>
            <sz val="9"/>
            <color indexed="81"/>
            <rFont val="Tahoma"/>
            <family val="2"/>
          </rPr>
          <t>Flags the existence of errors.</t>
        </r>
      </text>
    </comment>
    <comment ref="I73"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7.xml><?xml version="1.0" encoding="utf-8"?>
<comments xmlns="http://schemas.openxmlformats.org/spreadsheetml/2006/main">
  <authors>
    <author>Michael Hutchens</author>
  </authors>
  <commentList>
    <comment ref="B89" authorId="0">
      <text>
        <r>
          <rPr>
            <sz val="8"/>
            <color indexed="81"/>
            <rFont val="Tahoma"/>
            <family val="2"/>
          </rPr>
          <t>Reconciliation used for valuation purposes and to determine dividends payable.</t>
        </r>
      </text>
    </comment>
    <comment ref="I111" authorId="0">
      <text>
        <r>
          <rPr>
            <b/>
            <sz val="9"/>
            <color indexed="81"/>
            <rFont val="Tahoma"/>
            <family val="2"/>
          </rPr>
          <t xml:space="preserve">Error Check
</t>
        </r>
        <r>
          <rPr>
            <sz val="9"/>
            <color indexed="81"/>
            <rFont val="Tahoma"/>
            <family val="2"/>
          </rPr>
          <t>Flags the existence of errors.</t>
        </r>
      </text>
    </comment>
  </commentList>
</comments>
</file>

<file path=xl/sharedStrings.xml><?xml version="1.0" encoding="utf-8"?>
<sst xmlns="http://schemas.openxmlformats.org/spreadsheetml/2006/main" count="990" uniqueCount="598">
  <si>
    <t>Balance Sheet</t>
  </si>
  <si>
    <t>Opening Tax Payable</t>
  </si>
  <si>
    <t>Taxation Rate</t>
  </si>
  <si>
    <t>Corporate Taxation Rate</t>
  </si>
  <si>
    <t>Deferred Tax Assets</t>
  </si>
  <si>
    <t>Deferred Tax Liabilities</t>
  </si>
  <si>
    <t>Net Profit Before Tax (NPBT)</t>
  </si>
  <si>
    <t>Accounting Taxable Profit / (Loss)</t>
  </si>
  <si>
    <t>Tax Expense / (Benefit)</t>
  </si>
  <si>
    <t>Tax Payable</t>
  </si>
  <si>
    <t>Value</t>
  </si>
  <si>
    <t>EBITDA</t>
  </si>
  <si>
    <t>EBIT</t>
  </si>
  <si>
    <t>Net Profit Before Tax</t>
  </si>
  <si>
    <t>Net Profit After Tax</t>
  </si>
  <si>
    <t>Revenues and expenses enter the Income Statement as positive and negative numbers respectively.</t>
  </si>
  <si>
    <t>Cash Flow from Operating Activities</t>
  </si>
  <si>
    <t>Cash Flow from Investing Activities</t>
  </si>
  <si>
    <t>Cash Flow from Financing Activities</t>
  </si>
  <si>
    <t>Net Increase / (Decrease) in Cash Held</t>
  </si>
  <si>
    <t>(Add Back) Tax Expense</t>
  </si>
  <si>
    <t>(Add Back) Total Debt Interest Expense</t>
  </si>
  <si>
    <t>(Add Back) Total Book Depreciation &amp; Amortisation</t>
  </si>
  <si>
    <t>Cash Flow Available To Capital Providers</t>
  </si>
  <si>
    <t>Cash Flow Available to Equity (CFAE)</t>
  </si>
  <si>
    <t>Error Values Detected - Direct Method</t>
  </si>
  <si>
    <t>Cash Flow Summation Check - Direct Method</t>
  </si>
  <si>
    <t>Error Values Detected - Indirect Method</t>
  </si>
  <si>
    <t>Cash Flow Summation Check - Indirect Method</t>
  </si>
  <si>
    <t>Direct vs. Indirect Reconciliation Check</t>
  </si>
  <si>
    <t>CFAE Reconciliation Consistency</t>
  </si>
  <si>
    <t>Current Assets</t>
  </si>
  <si>
    <t>Non-Current Assets</t>
  </si>
  <si>
    <t>Total Assets</t>
  </si>
  <si>
    <t>Current Liabilities</t>
  </si>
  <si>
    <t>Ordinary Equity Dividends Payable</t>
  </si>
  <si>
    <t>Non-Current Liabilities</t>
  </si>
  <si>
    <t>Total Liabilities</t>
  </si>
  <si>
    <t>Net Assets</t>
  </si>
  <si>
    <t>Equity</t>
  </si>
  <si>
    <t>Retained Profits</t>
  </si>
  <si>
    <t>Total Equity</t>
  </si>
  <si>
    <t>Opening Cash</t>
  </si>
  <si>
    <t>Net Change in Cash Held</t>
  </si>
  <si>
    <t>Net Profit During Period</t>
  </si>
  <si>
    <t>Ordinary Equity Dividends Declared</t>
  </si>
  <si>
    <t>Cash Flow Statement</t>
  </si>
  <si>
    <t>Info@bpmglobal.com</t>
  </si>
  <si>
    <t>Income Statement</t>
  </si>
  <si>
    <t>Go to Table of Contents</t>
  </si>
  <si>
    <t>Table of Contents</t>
  </si>
  <si>
    <t>Go to Cover Sheet</t>
  </si>
  <si>
    <t>é</t>
  </si>
  <si>
    <t>Section &amp; Sheet Titles</t>
  </si>
  <si>
    <t>ç</t>
  </si>
  <si>
    <t>Names:</t>
  </si>
  <si>
    <t>Month</t>
  </si>
  <si>
    <t>January</t>
  </si>
  <si>
    <t>February</t>
  </si>
  <si>
    <t>March</t>
  </si>
  <si>
    <t>April</t>
  </si>
  <si>
    <t>May</t>
  </si>
  <si>
    <t>June</t>
  </si>
  <si>
    <t>July</t>
  </si>
  <si>
    <t>August</t>
  </si>
  <si>
    <t>September</t>
  </si>
  <si>
    <t>October</t>
  </si>
  <si>
    <t>November</t>
  </si>
  <si>
    <t>December</t>
  </si>
  <si>
    <t>Quarter</t>
  </si>
  <si>
    <t>Half Year</t>
  </si>
  <si>
    <t>Annual</t>
  </si>
  <si>
    <t>Semi-Annual</t>
  </si>
  <si>
    <t>Quarterly</t>
  </si>
  <si>
    <t>Qtrly</t>
  </si>
  <si>
    <t>Monthly</t>
  </si>
  <si>
    <t>Mthly</t>
  </si>
  <si>
    <t>Year</t>
  </si>
  <si>
    <t>Yr_Name</t>
  </si>
  <si>
    <t>Half_Yr_Name</t>
  </si>
  <si>
    <t>Qtr_Name</t>
  </si>
  <si>
    <t>Mth_Name</t>
  </si>
  <si>
    <t>LU_Pers_In_Yr</t>
  </si>
  <si>
    <t>Yrs_In_Yr</t>
  </si>
  <si>
    <t>Halves_In_Yr</t>
  </si>
  <si>
    <t>Qtrs_In_Yr</t>
  </si>
  <si>
    <t>Mths_In_Yr</t>
  </si>
  <si>
    <t>Yes</t>
  </si>
  <si>
    <t>Denomination</t>
  </si>
  <si>
    <t>LU_Denom</t>
  </si>
  <si>
    <t>$Billions</t>
  </si>
  <si>
    <t>Billions</t>
  </si>
  <si>
    <t>$Millions</t>
  </si>
  <si>
    <t>Millions</t>
  </si>
  <si>
    <t>$'000</t>
  </si>
  <si>
    <t>Thousands</t>
  </si>
  <si>
    <t>$</t>
  </si>
  <si>
    <t>Currency</t>
  </si>
  <si>
    <t>Ten</t>
  </si>
  <si>
    <t>Hundred</t>
  </si>
  <si>
    <t>Thousand</t>
  </si>
  <si>
    <t>Million</t>
  </si>
  <si>
    <t>Billion</t>
  </si>
  <si>
    <t>è</t>
  </si>
  <si>
    <t>SC</t>
  </si>
  <si>
    <t>SSC</t>
  </si>
  <si>
    <t>Formats &amp; Styles Key</t>
  </si>
  <si>
    <t>Color Name</t>
  </si>
  <si>
    <t>Color Description / Purpose</t>
  </si>
  <si>
    <t>Example</t>
  </si>
  <si>
    <t>Hyperlink</t>
  </si>
  <si>
    <t>Hyperlink Type</t>
  </si>
  <si>
    <t>Hyperlink Description / Purpose</t>
  </si>
  <si>
    <t>Cover Hyperlink</t>
  </si>
  <si>
    <t>Links Contents Sheet to Cover Sheet.</t>
  </si>
  <si>
    <t>Home Hyperlink</t>
  </si>
  <si>
    <t>Links worksheets to Contents Sheet.</t>
  </si>
  <si>
    <t>Custom Hyperlink</t>
  </si>
  <si>
    <t>Links worksheet ranges to other worksheet ranges in the model.</t>
  </si>
  <si>
    <t>Linked Cell Text</t>
  </si>
  <si>
    <t>Sheet Top Hyperlink</t>
  </si>
  <si>
    <t>Scrolls worksheet to the upper-most viewable section.</t>
  </si>
  <si>
    <t>Sheet Left Hyperlink</t>
  </si>
  <si>
    <t>Links active worksheet to the previous visible worksheet.</t>
  </si>
  <si>
    <t>Sheet Right Hyperlink</t>
  </si>
  <si>
    <t>Sheet Naming Key</t>
  </si>
  <si>
    <t>Sheet Description / Purpose</t>
  </si>
  <si>
    <t>Indicates the start of a workbook.</t>
  </si>
  <si>
    <t>Section Cover</t>
  </si>
  <si>
    <t>Indicates the start of a workbook section.</t>
  </si>
  <si>
    <t>Sub-Section Cover</t>
  </si>
  <si>
    <t>Indicates the start of a workbook sub-section.</t>
  </si>
  <si>
    <t>Contents*</t>
  </si>
  <si>
    <t>Contains the workbook Table of Contents.</t>
  </si>
  <si>
    <t>Contents</t>
  </si>
  <si>
    <t>Model Schematic</t>
  </si>
  <si>
    <t>Contains model diagrams and flow charts.</t>
  </si>
  <si>
    <t>MS</t>
  </si>
  <si>
    <t>Residual category (contains assumptions).</t>
  </si>
  <si>
    <t>BA</t>
  </si>
  <si>
    <t>Blank Output</t>
  </si>
  <si>
    <t>Residual category (contains outputs).</t>
  </si>
  <si>
    <t>Chart</t>
  </si>
  <si>
    <t>Contains a chart.</t>
  </si>
  <si>
    <t>Cht</t>
  </si>
  <si>
    <t>Model Import**</t>
  </si>
  <si>
    <t>MI</t>
  </si>
  <si>
    <t>Model Export**</t>
  </si>
  <si>
    <t>ME</t>
  </si>
  <si>
    <t>Range Naming Key</t>
  </si>
  <si>
    <t>Range Type / Purpose</t>
  </si>
  <si>
    <t>Range Description / Purpose</t>
  </si>
  <si>
    <t>Prefix</t>
  </si>
  <si>
    <t>Row Array</t>
  </si>
  <si>
    <t>Single row, multiple column, single area array.</t>
  </si>
  <si>
    <t>RA_</t>
  </si>
  <si>
    <t>Column Array</t>
  </si>
  <si>
    <t>Single column, multiple row, single area array.</t>
  </si>
  <si>
    <t>CA_</t>
  </si>
  <si>
    <t>Block Array</t>
  </si>
  <si>
    <t>Single area, multiple cell, non-row, non-column array.</t>
  </si>
  <si>
    <t>BA_</t>
  </si>
  <si>
    <t>Multiple Area Array</t>
  </si>
  <si>
    <t>Multiple area (includes areas of any type).</t>
  </si>
  <si>
    <t>MAA_</t>
  </si>
  <si>
    <t>Base Cell</t>
  </si>
  <si>
    <t>Single cell base cell (for OFFSET function reference, etc).</t>
  </si>
  <si>
    <t>BC_</t>
  </si>
  <si>
    <t>Names a Lookup Table Array on a Lookup Sheet.</t>
  </si>
  <si>
    <t>LU_</t>
  </si>
  <si>
    <t>Hyperlink cell reference.</t>
  </si>
  <si>
    <t>HL_</t>
  </si>
  <si>
    <t>Check box cell link.</t>
  </si>
  <si>
    <t>CB_</t>
  </si>
  <si>
    <t>Drop down box cell link.</t>
  </si>
  <si>
    <t>DD_</t>
  </si>
  <si>
    <t>List box cell link.</t>
  </si>
  <si>
    <t>LB_</t>
  </si>
  <si>
    <t>Option button cell link.</t>
  </si>
  <si>
    <t>OB_</t>
  </si>
  <si>
    <t>Spin button cell link.</t>
  </si>
  <si>
    <t>S_</t>
  </si>
  <si>
    <t>Scroll bar cell link.</t>
  </si>
  <si>
    <t>SB_</t>
  </si>
  <si>
    <t>Residual</t>
  </si>
  <si>
    <t>Residual category (i.e. single cell non-base cells, etc).</t>
  </si>
  <si>
    <t>No Prefix</t>
  </si>
  <si>
    <t>First Period End Date</t>
  </si>
  <si>
    <t>Primary</t>
  </si>
  <si>
    <t>Appendices</t>
  </si>
  <si>
    <t>Checks</t>
  </si>
  <si>
    <t>Lookup Tables</t>
  </si>
  <si>
    <t>Section 1.</t>
  </si>
  <si>
    <t>Sub-Section 1.1.</t>
  </si>
  <si>
    <t>1.1.</t>
  </si>
  <si>
    <t>a.</t>
  </si>
  <si>
    <t>b.</t>
  </si>
  <si>
    <t>c.</t>
  </si>
  <si>
    <t>Sub-Section 1.2.</t>
  </si>
  <si>
    <t>1.2.</t>
  </si>
  <si>
    <t>Section 2.</t>
  </si>
  <si>
    <t>Section 3.</t>
  </si>
  <si>
    <t>Section 4.</t>
  </si>
  <si>
    <t>-</t>
  </si>
  <si>
    <t>Notes</t>
  </si>
  <si>
    <t>Contains general notes about the purpose and use of this model.</t>
  </si>
  <si>
    <t>x</t>
  </si>
  <si>
    <t>h</t>
  </si>
  <si>
    <t>O</t>
  </si>
  <si>
    <t>Area:</t>
  </si>
  <si>
    <t>General</t>
  </si>
  <si>
    <t>Intended Audience</t>
  </si>
  <si>
    <t>This model has been developed for those who:</t>
  </si>
  <si>
    <t>Simplification</t>
  </si>
  <si>
    <t>Standards</t>
  </si>
  <si>
    <t>Annotations</t>
  </si>
  <si>
    <t>Further Training</t>
  </si>
  <si>
    <t>Contact BPM</t>
  </si>
  <si>
    <t>Email:</t>
  </si>
  <si>
    <t>Website:</t>
  </si>
  <si>
    <t>Downloads:</t>
  </si>
  <si>
    <t>Financial Year</t>
  </si>
  <si>
    <t>Financial Year Period</t>
  </si>
  <si>
    <t>Period Start Date (From Start of Day...)</t>
  </si>
  <si>
    <t>Period End Date (Until End of Day...)</t>
  </si>
  <si>
    <t>Counter</t>
  </si>
  <si>
    <t>Revenue</t>
  </si>
  <si>
    <t>Error Checks</t>
  </si>
  <si>
    <t>Errors Detected - Summary</t>
  </si>
  <si>
    <t>Check</t>
  </si>
  <si>
    <t>Include?</t>
  </si>
  <si>
    <t>Error Message (Empty if None):</t>
  </si>
  <si>
    <t>Sensitivity Checks</t>
  </si>
  <si>
    <t>Sensitivities Detected - Summary</t>
  </si>
  <si>
    <t>Sensitivity Message (Empty if None):</t>
  </si>
  <si>
    <t>Alert Checks</t>
  </si>
  <si>
    <t>Alerts Detected - Summary</t>
  </si>
  <si>
    <t>Alert Message (Empty if None):</t>
  </si>
  <si>
    <t>Operating Expenditure</t>
  </si>
  <si>
    <t>Capital Expenditure</t>
  </si>
  <si>
    <t>Cash Receipts</t>
  </si>
  <si>
    <t>Error Values Detected</t>
  </si>
  <si>
    <t>Error in Balancing of Components</t>
  </si>
  <si>
    <t>Positive Cash Receipts Error</t>
  </si>
  <si>
    <t>Negative Closing Balance Error</t>
  </si>
  <si>
    <t>Cash Payments</t>
  </si>
  <si>
    <t>Positive Cash Payments Error</t>
  </si>
  <si>
    <t>Opening Balance</t>
  </si>
  <si>
    <t>Debt Drawdowns</t>
  </si>
  <si>
    <t>Debt Repayments</t>
  </si>
  <si>
    <t>Closing Debt Balance</t>
  </si>
  <si>
    <t>Drawdowns/Repayments % into Period</t>
  </si>
  <si>
    <t>Interest Expense</t>
  </si>
  <si>
    <t>Opening Interest Payable</t>
  </si>
  <si>
    <t>Base Interest Rate (% p.a.)</t>
  </si>
  <si>
    <t>Margin (% p.a.)</t>
  </si>
  <si>
    <t>All-In Interest Rate (% p.a.)</t>
  </si>
  <si>
    <t>Debt</t>
  </si>
  <si>
    <t>Period % of Full Year</t>
  </si>
  <si>
    <t>Average Debt Outstanding</t>
  </si>
  <si>
    <t>Interest Paid</t>
  </si>
  <si>
    <t>Closing Interest Payable</t>
  </si>
  <si>
    <t>Dividend Method Lookup</t>
  </si>
  <si>
    <t>Dividend Method</t>
  </si>
  <si>
    <t>LU_Eq_Ord_Div_Meth</t>
  </si>
  <si>
    <t>% of NPAT</t>
  </si>
  <si>
    <t>Assume Dividend Amounts</t>
  </si>
  <si>
    <t>Equity Raisings</t>
  </si>
  <si>
    <t>Equity Repayments</t>
  </si>
  <si>
    <t>Closing Ordinary Equity</t>
  </si>
  <si>
    <t>Dividends Payable &amp; Paid</t>
  </si>
  <si>
    <t>Dividend Determination Method:</t>
  </si>
  <si>
    <t>Dividend Declaration Period?</t>
  </si>
  <si>
    <t>Dividends cannot be negative.</t>
  </si>
  <si>
    <t>Dividends cannot exceed accumulated Retained Profits (Opening Retained Profits + Net Profit After Tax) in any period.</t>
  </si>
  <si>
    <t>Ordinary Equity</t>
  </si>
  <si>
    <t>Dividends Declared During Period</t>
  </si>
  <si>
    <t>Dividends Paid During Period</t>
  </si>
  <si>
    <t>Closing Dividends Payable</t>
  </si>
  <si>
    <t>Error in Ordinary Equity Balances</t>
  </si>
  <si>
    <t>Error in Dividends Payable Balances</t>
  </si>
  <si>
    <t>Opening Retained Profits</t>
  </si>
  <si>
    <t>Net Profit After Tax (NPAT)</t>
  </si>
  <si>
    <t>Opening Cash at Bank</t>
  </si>
  <si>
    <t>Cash Flow Available for Dividends</t>
  </si>
  <si>
    <t>Maximum Dividends Allowed</t>
  </si>
  <si>
    <t>Total Available Cash For Dividends</t>
  </si>
  <si>
    <t>Target Dividends Declared</t>
  </si>
  <si>
    <t>Actual Dividends Declared</t>
  </si>
  <si>
    <t>Contains notes explaining the purpose and use of this model and where more help can be obtained.</t>
  </si>
  <si>
    <t>Contains diagrams summarising designated components of the model.</t>
  </si>
  <si>
    <t>Contains Formats &amp; Styles, Sheet Naming and Range Naming Keys explaining the approaches adopted throughout this model.</t>
  </si>
  <si>
    <t>Primary Developer:  BPM</t>
  </si>
  <si>
    <t>Applied Theme</t>
  </si>
  <si>
    <t>Brief notes have been included throughout the Section Cover Sheets and Assumption Sheets within this workbook. These notes have been included in accordance with Best Practice and are not designed to provide detailed insight into how this model was developed or how it could be improved or enhanced.</t>
  </si>
  <si>
    <t>BPM specializes in the provision of Best Practice Spreadsheet Modelling products and services, including the provision of training and support services. This training and support ranges from our base courses (such as the bpmToolbox Fundamentals course) to courses customized to meet specific client needs.  For more information on BPM's training and support services, contact BPM on the details provided below.</t>
  </si>
  <si>
    <r>
      <t xml:space="preserve">To order the </t>
    </r>
    <r>
      <rPr>
        <b/>
        <sz val="8"/>
        <color indexed="60"/>
        <rFont val="Tahoma"/>
        <family val="2"/>
        <scheme val="major"/>
      </rPr>
      <t>Best Practice Spreadsheet Modelling Standards</t>
    </r>
    <r>
      <rPr>
        <sz val="8"/>
        <color indexed="60"/>
        <rFont val="Tahoma"/>
        <family val="2"/>
        <scheme val="major"/>
      </rPr>
      <t>, go to:</t>
    </r>
  </si>
  <si>
    <t>Overview</t>
  </si>
  <si>
    <t>Also contains keys explaining the Formats &amp; Styles, Sheet Naming &amp; Range Naming principles used in this model.</t>
  </si>
  <si>
    <t>Also contains contact details for BPM.</t>
  </si>
  <si>
    <t>Accounts Receivable</t>
  </si>
  <si>
    <t>Accounts Payable</t>
  </si>
  <si>
    <t>Keys</t>
  </si>
  <si>
    <t>Font Colors</t>
  </si>
  <si>
    <t>Fill Colors</t>
  </si>
  <si>
    <t>Go To Cover Sheet</t>
  </si>
  <si>
    <t>Go To Table of Contents</t>
  </si>
  <si>
    <t>Links active worksheet to the next visible worksheet.</t>
  </si>
  <si>
    <t>Base Sheet Type</t>
  </si>
  <si>
    <t>Suffix</t>
  </si>
  <si>
    <t>Cover*</t>
  </si>
  <si>
    <t>Cover</t>
  </si>
  <si>
    <t>Blank Assumption</t>
  </si>
  <si>
    <t>Time Series Assumption</t>
  </si>
  <si>
    <t>Contains time series titles for entering assumptions over a set time frame.</t>
  </si>
  <si>
    <t>TA</t>
  </si>
  <si>
    <t>Time Series Output</t>
  </si>
  <si>
    <t>Contains time series titles for calculating outputs over a set time frame.</t>
  </si>
  <si>
    <t>TO</t>
  </si>
  <si>
    <t>Lookup</t>
  </si>
  <si>
    <t>Contains lookup data for use in forms / controls and in worksheet formulas.</t>
  </si>
  <si>
    <t>LU</t>
  </si>
  <si>
    <t>Contains formulas that reference worksheet ranges in another workbook.</t>
  </si>
  <si>
    <t>Contains worksheet ranges that are referenced by formulas in another workbook.</t>
  </si>
  <si>
    <t>* The names of the Cover and Contents sheets are always "Cover" and "Contents" respectively.</t>
  </si>
  <si>
    <t>Check Box</t>
  </si>
  <si>
    <t>Drop Down Box</t>
  </si>
  <si>
    <t>List Box</t>
  </si>
  <si>
    <t>Option Button</t>
  </si>
  <si>
    <t>Spin Button</t>
  </si>
  <si>
    <t>Scroll Bar</t>
  </si>
  <si>
    <t>Time Series Assumptions</t>
  </si>
  <si>
    <t>Names</t>
  </si>
  <si>
    <t>Time Series Lookup Tables</t>
  </si>
  <si>
    <t>Month Days</t>
  </si>
  <si>
    <t>LU_Mth_Days</t>
  </si>
  <si>
    <t>Month Names</t>
  </si>
  <si>
    <t>LU_Mth_Names</t>
  </si>
  <si>
    <t>Data Term Basis</t>
  </si>
  <si>
    <t>LU_Data_Term_Basis</t>
  </si>
  <si>
    <t>Active Data Periods</t>
  </si>
  <si>
    <t>Projections Start</t>
  </si>
  <si>
    <t>Periodicity</t>
  </si>
  <si>
    <t>LU_Periodicity</t>
  </si>
  <si>
    <t>Semi_Annual</t>
  </si>
  <si>
    <t>Period Type Names</t>
  </si>
  <si>
    <t>LU_Period_Type_Names</t>
  </si>
  <si>
    <t>Periods In Year</t>
  </si>
  <si>
    <t>Conversion Factors</t>
  </si>
  <si>
    <t>Core Time Series Assumptions</t>
  </si>
  <si>
    <t>Title</t>
  </si>
  <si>
    <t>Financial Year End</t>
  </si>
  <si>
    <t>Start Date</t>
  </si>
  <si>
    <t>Periods</t>
  </si>
  <si>
    <t>Period Type</t>
  </si>
  <si>
    <t>Period Type Prefix</t>
  </si>
  <si>
    <t>Financial Year End Is Month End?</t>
  </si>
  <si>
    <t>First Period Financial Year Start Date</t>
  </si>
  <si>
    <t>First Period Financial Year End Date</t>
  </si>
  <si>
    <t>Months In Period</t>
  </si>
  <si>
    <t>First Period Financial Period Number</t>
  </si>
  <si>
    <t>First Period Start Date (If Full Period)</t>
  </si>
  <si>
    <t>Denomination Label</t>
  </si>
  <si>
    <t>Historical &amp; Forecast Period Titles</t>
  </si>
  <si>
    <t>Include in Period Titles?</t>
  </si>
  <si>
    <t>Actual Periods</t>
  </si>
  <si>
    <t>Budget Periods</t>
  </si>
  <si>
    <t>Historical / Actual Periods Title</t>
  </si>
  <si>
    <t>Budget Periods Title</t>
  </si>
  <si>
    <t>Forecast Period Title</t>
  </si>
  <si>
    <t>Data &amp; Projections - Timing Assumptions</t>
  </si>
  <si>
    <t>Data - Active Periods</t>
  </si>
  <si>
    <t>Projections - Start Date</t>
  </si>
  <si>
    <t>Data Time Series Sheets</t>
  </si>
  <si>
    <t>Data End Date</t>
  </si>
  <si>
    <t>Total Data Periods</t>
  </si>
  <si>
    <t>Full Data Periods</t>
  </si>
  <si>
    <t>Final Data Period Is Stub</t>
  </si>
  <si>
    <t>Projections Time Series Sheets</t>
  </si>
  <si>
    <t>Projections Start Date</t>
  </si>
  <si>
    <t>A Financial Year End assumption of 28th of February is assumed to be a month end financial year end, even in a leap year.</t>
  </si>
  <si>
    <t>The "Model Denomination" assumption will not necessarily automatically change the denomination of the outputs of this model.</t>
  </si>
  <si>
    <t>A "Budget Period" refers to either a period in the current financial year or periods containing combined actual and forecast data.</t>
  </si>
  <si>
    <t>"Data &amp; Projections - Timing Assumptions" are used as the basis for related data and projections time series sheets.</t>
  </si>
  <si>
    <t>(A)</t>
  </si>
  <si>
    <t>(B)</t>
  </si>
  <si>
    <t>(F)</t>
  </si>
  <si>
    <t>Contains base case assumptions used to generate the base case outputs.</t>
  </si>
  <si>
    <t>Period Key</t>
  </si>
  <si>
    <t>Flag</t>
  </si>
  <si>
    <t>Total Errors:</t>
  </si>
  <si>
    <t>Total Sensitivities:</t>
  </si>
  <si>
    <t>Total Alerts:</t>
  </si>
  <si>
    <t xml:space="preserve">Base Amount </t>
  </si>
  <si>
    <t>Contains base case outputs - i.e. includes only the impacts of base case assumptions.</t>
  </si>
  <si>
    <t>Contains model lookup tables.</t>
  </si>
  <si>
    <t>Capital - Lookup Tables</t>
  </si>
  <si>
    <t>Assumptions</t>
  </si>
  <si>
    <t>Outputs</t>
  </si>
  <si>
    <t>Operational - Outputs</t>
  </si>
  <si>
    <t>Assets - Outputs</t>
  </si>
  <si>
    <t>Capital - Outputs</t>
  </si>
  <si>
    <t>Operational - Assumptions</t>
  </si>
  <si>
    <t>Working Capital - Assumptions</t>
  </si>
  <si>
    <t>Assets - Assumptions</t>
  </si>
  <si>
    <t>Capital - Assumptions</t>
  </si>
  <si>
    <t>Taxation - Assumptions</t>
  </si>
  <si>
    <t>Model Notes</t>
  </si>
  <si>
    <t>This is a simple example of a best practice forecast business planning model.</t>
  </si>
  <si>
    <t>Debtors Days</t>
  </si>
  <si>
    <t>Creditors Days</t>
  </si>
  <si>
    <t>Closing Balance</t>
  </si>
  <si>
    <t>Total Error Checks Result</t>
  </si>
  <si>
    <t>Working Capital - Outputs</t>
  </si>
  <si>
    <t>Error Check</t>
  </si>
  <si>
    <t>Depreciation</t>
  </si>
  <si>
    <t>Total Error Check Result</t>
  </si>
  <si>
    <t>Debt - Assumptions</t>
  </si>
  <si>
    <t>Ordinary Equity - Assumptions</t>
  </si>
  <si>
    <t>Ordinary Equity - Outputs</t>
  </si>
  <si>
    <t>The Corporate Taxation Rate is limited to a minimum of 0% and a maximum of 100%.</t>
  </si>
  <si>
    <t>Taxation - Output Summary</t>
  </si>
  <si>
    <t>Balance Check</t>
  </si>
  <si>
    <t>Alert Check (Negative Cash)</t>
  </si>
  <si>
    <t>Decrease in Accounts Receivable</t>
  </si>
  <si>
    <t>Increase in Accounts Payable</t>
  </si>
  <si>
    <t>Dividends Payable &amp; Paid - Calculation</t>
  </si>
  <si>
    <t>Alert Check (Limited Dividends)</t>
  </si>
  <si>
    <t>Direct Cash Flow Statement</t>
  </si>
  <si>
    <t>Indirect Cash Flow Statement</t>
  </si>
  <si>
    <t>Capital Providers - Cash Flow Reconciliation</t>
  </si>
  <si>
    <t>Dashboard Outputs</t>
  </si>
  <si>
    <t>[Insert Tile 2 Heading]</t>
  </si>
  <si>
    <t>[Insert Tile 4 Heading]</t>
  </si>
  <si>
    <t>[Insert Tile 6 Heading]</t>
  </si>
  <si>
    <t>Business Planning Summary</t>
  </si>
  <si>
    <t>Operating Cash Flows</t>
  </si>
  <si>
    <t>Investing Cash Flows</t>
  </si>
  <si>
    <t>Debt Drawdowns/(Repayments)</t>
  </si>
  <si>
    <t>Equity Drawdowns/(Repayments)</t>
  </si>
  <si>
    <t>Equity Dividends Paid</t>
  </si>
  <si>
    <t>Financing Cash Flows</t>
  </si>
  <si>
    <t>Other Operating Cash Flows</t>
  </si>
  <si>
    <t>Net Increase/(Decrease) in Cash Held</t>
  </si>
  <si>
    <t>EBITDA Margin</t>
  </si>
  <si>
    <t>Chart 1 Data</t>
  </si>
  <si>
    <t>Chart 2 Data</t>
  </si>
  <si>
    <t>Dashboards - Lookup Tables</t>
  </si>
  <si>
    <t>Selected Period</t>
  </si>
  <si>
    <t>Selected Period Lookup</t>
  </si>
  <si>
    <t>Dashboard Lookup Tables</t>
  </si>
  <si>
    <t>LU_Dashboard_Selected_Period</t>
  </si>
  <si>
    <t>Chart 3 Data</t>
  </si>
  <si>
    <t>Chart 4 Data</t>
  </si>
  <si>
    <t>Discretionary</t>
  </si>
  <si>
    <t>Committed</t>
  </si>
  <si>
    <t>Change
(+/-)</t>
  </si>
  <si>
    <t>Invisible Column</t>
  </si>
  <si>
    <t>Visible Column</t>
  </si>
  <si>
    <t>Total
Value</t>
  </si>
  <si>
    <t>Graph Inputs</t>
  </si>
  <si>
    <t>Assets</t>
  </si>
  <si>
    <t>Liabilities</t>
  </si>
  <si>
    <t>Chart 6 Data</t>
  </si>
  <si>
    <t>Best Practice Modelling</t>
  </si>
  <si>
    <t>For more information see:</t>
  </si>
  <si>
    <t>Cover Notes</t>
  </si>
  <si>
    <t>Section Cover Notes</t>
  </si>
  <si>
    <t>Sub-Section Cover Notes</t>
  </si>
  <si>
    <t>Cost of Goods Sold</t>
  </si>
  <si>
    <t xml:space="preserve"> Periodic Growth Rate (%)</t>
  </si>
  <si>
    <t xml:space="preserve">Opening Balance </t>
  </si>
  <si>
    <t xml:space="preserve"> Debtors/Creditors Days</t>
  </si>
  <si>
    <t>Revenue and expense assumptions are entered as positive numbers.</t>
  </si>
  <si>
    <t>Debtors/creditors days assumptions cannot be greater than the number of days in that period.</t>
  </si>
  <si>
    <t>Intangible Assets</t>
  </si>
  <si>
    <t xml:space="preserve"> Depreciation/Amortization - % of Capital Expenditure</t>
  </si>
  <si>
    <t>Costs</t>
  </si>
  <si>
    <t>Capital Expenditure - Assets</t>
  </si>
  <si>
    <t>Capital Expenditure - Intangibles</t>
  </si>
  <si>
    <t>Depreciation - % of Capital Expenditure</t>
  </si>
  <si>
    <t>Amortization - % of Capital Expenditure</t>
  </si>
  <si>
    <t>Amortization</t>
  </si>
  <si>
    <t>Gross Margin</t>
  </si>
  <si>
    <t>Depreciation &amp; Amortization</t>
  </si>
  <si>
    <t>Intangibles</t>
  </si>
  <si>
    <t>Debt - Outputs</t>
  </si>
  <si>
    <t>Tax is assumed to be paid in the period after tax expense is incurred.</t>
  </si>
  <si>
    <t>Tax Paid</t>
  </si>
  <si>
    <t>Tax calculations do not allow for tax losses, deferred tax assets or deferred tax liabilities - i.e. negative tax expense will result in cash tax receipts.</t>
  </si>
  <si>
    <t>Debt Interest Payable</t>
  </si>
  <si>
    <t>Movement in Accounts Receivable</t>
  </si>
  <si>
    <t>Movement in Accounts Payable</t>
  </si>
  <si>
    <t>Other Current Assets</t>
  </si>
  <si>
    <t>Other Current Liabilities</t>
  </si>
  <si>
    <t>Other Non-Current Assets</t>
  </si>
  <si>
    <t>Other Non-Current Liabilities</t>
  </si>
  <si>
    <t>Other Current Assets and Other Current Liabilities assumed to impact Other Operating Cash Flows.</t>
  </si>
  <si>
    <t>Other Non-Current Assets and Non-Other Current Liabilities assumed to impact Other Investing Cash Flows.</t>
  </si>
  <si>
    <t>Retained Profits are used to balance the Opening Balance Sheet.</t>
  </si>
  <si>
    <t>Cash at Bank</t>
  </si>
  <si>
    <t>Error Values Check</t>
  </si>
  <si>
    <t>Tax Payable (&amp; Paid)</t>
  </si>
  <si>
    <t>Opening Balance Sheet Balancing Item</t>
  </si>
  <si>
    <t>Other Balance Sheet Items - Outputs</t>
  </si>
  <si>
    <t>Movement</t>
  </si>
  <si>
    <t>Decrease in Other Current Assets</t>
  </si>
  <si>
    <t>Increase in Other Current Liabilities</t>
  </si>
  <si>
    <t>Decrease in Other Non-Current Assets</t>
  </si>
  <si>
    <t>Increase in Other Non-Current Liabilities</t>
  </si>
  <si>
    <t>EBITDA Breakdown</t>
  </si>
  <si>
    <t>Other Investing Cash Flows</t>
  </si>
  <si>
    <t>Sub-Section Cover Notes:</t>
  </si>
  <si>
    <t>Contains assumptions used to drive the time series analysis within the model.</t>
  </si>
  <si>
    <t>Forecast Assumptions</t>
  </si>
  <si>
    <t>Contains forecast assumptions for all areas within the underlying business.</t>
  </si>
  <si>
    <t>Forecast Outputs</t>
  </si>
  <si>
    <t>Contains forecast outputs for all areas within the underlying business other than financial statements.</t>
  </si>
  <si>
    <t>Financial Statements</t>
  </si>
  <si>
    <t>Contains the forecast Income Statement, Balance Sheet and Cash Flow Statement.</t>
  </si>
  <si>
    <t>Sub-Section 2.1.</t>
  </si>
  <si>
    <t>2.1.</t>
  </si>
  <si>
    <t>Sub-Section 2.2.</t>
  </si>
  <si>
    <t>2.2.</t>
  </si>
  <si>
    <t>Sub-Section 3.1.</t>
  </si>
  <si>
    <t>3.1.</t>
  </si>
  <si>
    <t>Sub-Section 3.2.</t>
  </si>
  <si>
    <t>3.2.</t>
  </si>
  <si>
    <t>Sub-Section 3.3.</t>
  </si>
  <si>
    <t>3.3.</t>
  </si>
  <si>
    <t>Sub-Section 4.1.</t>
  </si>
  <si>
    <t>4.1.</t>
  </si>
  <si>
    <t>Sub-Section 4.2.</t>
  </si>
  <si>
    <t>4.2.</t>
  </si>
  <si>
    <t xml:space="preserve">Many components of this model have been significantly simplified to prevent confusion.  </t>
  </si>
  <si>
    <t xml:space="preserve">    - Are currently trialing bpmToolbox; or</t>
  </si>
  <si>
    <t xml:space="preserve">    - Are interested in understanding the benefits of using bpmToolbox.</t>
  </si>
  <si>
    <t>Other Balance Sheet Items - Assumptions</t>
  </si>
  <si>
    <t>Use the bpmToolbox "Update Time Series Columns" tool to hide inactive data and projections time series periods.</t>
  </si>
  <si>
    <t>Error Check (Invalid Days Assumption)</t>
  </si>
  <si>
    <t>Contains a dashboard-style presentation output sheet.</t>
  </si>
  <si>
    <t>Contains checks and lookup tables.</t>
  </si>
  <si>
    <t>Contains error, sensitivity and alert checks.</t>
  </si>
  <si>
    <r>
      <rPr>
        <u/>
        <sz val="8"/>
        <color indexed="60"/>
        <rFont val="Tahoma"/>
        <family val="2"/>
      </rPr>
      <t>Subscribe to the Best Practice Modelling Network</t>
    </r>
    <r>
      <rPr>
        <sz val="8"/>
        <color indexed="60"/>
        <rFont val="Tahoma"/>
        <family val="2"/>
        <scheme val="major"/>
      </rPr>
      <t xml:space="preserve"> to be notified of new best practice example models.</t>
    </r>
  </si>
  <si>
    <t>www.bestpracticemodelling.com</t>
  </si>
  <si>
    <t>To navigate or view the content of this model, click on the 'Go to Table of Contents' hyperlink above.</t>
  </si>
  <si>
    <t>www.bestpracticemodelling.com/downloads/standards</t>
  </si>
  <si>
    <t>Formula</t>
  </si>
  <si>
    <t>=IF(J$12=1,Fcast_TA!J18,I18*(1+Fcast_TA!J18))</t>
  </si>
  <si>
    <t>Options</t>
  </si>
  <si>
    <t>Key</t>
  </si>
  <si>
    <t>Purpose</t>
  </si>
  <si>
    <t>Result</t>
  </si>
  <si>
    <t>Operator</t>
  </si>
  <si>
    <t>Function</t>
  </si>
  <si>
    <t>Range</t>
  </si>
  <si>
    <t>Sketch</t>
  </si>
  <si>
    <t>IF</t>
  </si>
  <si>
    <t>Final Result</t>
  </si>
  <si>
    <t>=</t>
  </si>
  <si>
    <t>Logical Test</t>
  </si>
  <si>
    <t>J$12</t>
  </si>
  <si>
    <t>Argument 1</t>
  </si>
  <si>
    <t>Argument 2</t>
  </si>
  <si>
    <t>Fcast_TA!J18</t>
  </si>
  <si>
    <t>If True</t>
  </si>
  <si>
    <t>×</t>
  </si>
  <si>
    <t>If False</t>
  </si>
  <si>
    <t>I18</t>
  </si>
  <si>
    <t>+</t>
  </si>
  <si>
    <t>Operational Forecasts - Formula Schematic</t>
  </si>
  <si>
    <r>
      <t xml:space="preserve">Use of this model is subject to the </t>
    </r>
    <r>
      <rPr>
        <u/>
        <sz val="8"/>
        <color indexed="60"/>
        <rFont val="Tahoma"/>
        <family val="2"/>
      </rPr>
      <t>training model terms and conditions</t>
    </r>
    <r>
      <rPr>
        <sz val="8"/>
        <color indexed="60"/>
        <rFont val="Tahoma"/>
        <family val="2"/>
        <scheme val="major"/>
      </rPr>
      <t xml:space="preserve"> on the Best Practice Modelling website.</t>
    </r>
  </si>
  <si>
    <t>This model has been designed to provide an example of how bpmToolbox can be used within Microsoft Excel to efficiently build a basic forecast business planning model in strict accordance with the Best Practice Spreadsheet Modelling Standards &amp; Conventions.</t>
  </si>
  <si>
    <t xml:space="preserve">    - Have purchased bpmToolbox;</t>
  </si>
  <si>
    <r>
      <t xml:space="preserve">This model has been built in accordance with the </t>
    </r>
    <r>
      <rPr>
        <u/>
        <sz val="8"/>
        <color indexed="60"/>
        <rFont val="Tahoma"/>
        <family val="2"/>
      </rPr>
      <t>Best Practice Spreadsheet Modelling Standards</t>
    </r>
    <r>
      <rPr>
        <sz val="8"/>
        <color indexed="60"/>
        <rFont val="Tahoma"/>
        <family val="2"/>
        <scheme val="major"/>
      </rPr>
      <t xml:space="preserve">.  For more information on the standards go to </t>
    </r>
    <r>
      <rPr>
        <u/>
        <sz val="8"/>
        <color indexed="60"/>
        <rFont val="Tahoma"/>
        <family val="2"/>
        <scheme val="major"/>
      </rPr>
      <t>www.ssrb.org</t>
    </r>
    <r>
      <rPr>
        <sz val="8"/>
        <color indexed="60"/>
        <rFont val="Tahoma"/>
        <family val="2"/>
        <scheme val="major"/>
      </rPr>
      <t>.</t>
    </r>
  </si>
  <si>
    <t>This workbook has been built using the bpmToolbox default theme - i.e. Styles, Colors, Page Setups, etc. These settings may differ from your personal or corporate theme settings.</t>
  </si>
  <si>
    <t>The purpose of this model is to provide an example of a forecast business planning model developed using bpmToolbox in accordance with the Best Practice Spreadsheet Modelling Standards.</t>
  </si>
  <si>
    <t>Constant</t>
  </si>
  <si>
    <t>Indicates ranges contain 100% constant (e.g. text/numbers).</t>
  </si>
  <si>
    <t>Indicates ranges contain pure formulas / output calculations.</t>
  </si>
  <si>
    <t>Mixed</t>
  </si>
  <si>
    <t>Indicates ranges contain a mixture of formulas and constants (e.g. formulas that contain embedded text or numbers).</t>
  </si>
  <si>
    <t>Indicates operative checks – normally used as a conditional format.</t>
  </si>
  <si>
    <t>Indicates ranges contain hyperlinks to other ranges within the workbook or to other linked models.</t>
  </si>
  <si>
    <t>Color A</t>
  </si>
  <si>
    <t>Used to distinguish assumption sheets and/or cells.</t>
  </si>
  <si>
    <t>Work In Progress</t>
  </si>
  <si>
    <t>Indicates ranges contain data or formulas that remain uncertain or are subject to change.</t>
  </si>
  <si>
    <t>Color B</t>
  </si>
  <si>
    <t>Used to distinguish assumption sheets and/or cells. May also be used for a custom purpose.</t>
  </si>
  <si>
    <t>Presentation**</t>
  </si>
  <si>
    <t>Contains presentation outputs that are exempt from the requirements of the best practice modelling standards and conventions.</t>
  </si>
  <si>
    <t>P</t>
  </si>
  <si>
    <t>Notes:</t>
  </si>
  <si>
    <t>** Model Import, Model Export and Presentation Sheet suffixes are used in addition to the other sheet naming suffixes.</t>
  </si>
  <si>
    <t xml:space="preserve">  Page  </t>
  </si>
  <si>
    <t>Total Pages:</t>
  </si>
  <si>
    <t>BO</t>
  </si>
</sst>
</file>

<file path=xl/styles.xml><?xml version="1.0" encoding="utf-8"?>
<styleSheet xmlns="http://schemas.openxmlformats.org/spreadsheetml/2006/main">
  <numFmts count="17">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0.0_);\(#,##0.0\);_(&quot;-&quot;_)"/>
    <numFmt numFmtId="169" formatCode="_(#,##0.0%_);\(#,##0.0%\);_(&quot;-&quot;_)"/>
    <numFmt numFmtId="170" formatCode="_(#,##0.0\x_);\(#,##0.0\x\);_(&quot;-&quot;_)"/>
    <numFmt numFmtId="171" formatCode="_(&quot;$&quot;#,##0.0_);\(&quot;$&quot;#,##0.0\);_(&quot;-&quot;_)"/>
    <numFmt numFmtId="172" formatCode="_(#,##0_);\(#,##0\);_(&quot;-&quot;_)"/>
    <numFmt numFmtId="173" formatCode="#,##0."/>
    <numFmt numFmtId="174" formatCode="_(#,##0.00%_);\(#,##0.00%\);_(&quot;-&quot;_)"/>
    <numFmt numFmtId="175" formatCode="_(#,##0_);\(#,##0\);_(#,##0_)"/>
    <numFmt numFmtId="176" formatCode="_(#,##0_);\(#,##0\);_-&quot;-&quot;_-"/>
    <numFmt numFmtId="177" formatCode="_(###0_);\(###0\);_(&quot;-&quot;_)"/>
    <numFmt numFmtId="178" formatCode="_)d\-mmm\-yy_);_)d\-mmm\-yy_);_)&quot;-&quot;_)"/>
    <numFmt numFmtId="179" formatCode="_(#,##0._);\(#,##0\);_(&quot;-&quot;_)"/>
    <numFmt numFmtId="180" formatCode="#,##0.0"/>
  </numFmts>
  <fonts count="91">
    <font>
      <sz val="8"/>
      <name val="Tahoma"/>
      <family val="2"/>
      <scheme val="minor"/>
    </font>
    <font>
      <sz val="8"/>
      <name val="Arial"/>
      <family val="2"/>
    </font>
    <font>
      <b/>
      <sz val="10"/>
      <name val="Arial"/>
      <family val="2"/>
    </font>
    <font>
      <b/>
      <sz val="9"/>
      <name val="Arial"/>
      <family val="2"/>
    </font>
    <font>
      <b/>
      <sz val="8"/>
      <name val="Arial"/>
      <family val="2"/>
    </font>
    <font>
      <b/>
      <sz val="10"/>
      <color indexed="56"/>
      <name val="Wingdings"/>
      <charset val="2"/>
    </font>
    <font>
      <b/>
      <sz val="8"/>
      <color indexed="60"/>
      <name val="Arial"/>
      <family val="2"/>
    </font>
    <font>
      <sz val="8"/>
      <color indexed="60"/>
      <name val="Arial"/>
      <family val="2"/>
    </font>
    <font>
      <u/>
      <sz val="8"/>
      <color indexed="12"/>
      <name val="Arial"/>
      <family val="2"/>
    </font>
    <font>
      <b/>
      <sz val="9"/>
      <color indexed="60"/>
      <name val="Arial"/>
      <family val="2"/>
    </font>
    <font>
      <sz val="8"/>
      <name val="Tahoma"/>
      <family val="2"/>
    </font>
    <font>
      <u/>
      <sz val="8"/>
      <color indexed="36"/>
      <name val="Arial"/>
      <family val="2"/>
    </font>
    <font>
      <b/>
      <sz val="10"/>
      <color indexed="59"/>
      <name val="Arial"/>
      <family val="2"/>
    </font>
    <font>
      <b/>
      <u/>
      <sz val="8"/>
      <color indexed="56"/>
      <name val="Tahoma"/>
      <family val="2"/>
    </font>
    <font>
      <sz val="8"/>
      <color indexed="56"/>
      <name val="Tahoma"/>
      <family val="2"/>
    </font>
    <font>
      <b/>
      <sz val="18"/>
      <color theme="3"/>
      <name val="Tahoma"/>
      <family val="2"/>
      <scheme val="major"/>
    </font>
    <font>
      <sz val="8"/>
      <color rgb="FF006100"/>
      <name val="Tahoma"/>
      <family val="2"/>
    </font>
    <font>
      <sz val="8"/>
      <color rgb="FF9C0006"/>
      <name val="Tahoma"/>
      <family val="2"/>
    </font>
    <font>
      <sz val="8"/>
      <color rgb="FF9C6500"/>
      <name val="Tahoma"/>
      <family val="2"/>
    </font>
    <font>
      <sz val="8"/>
      <color rgb="FF3F3F76"/>
      <name val="Tahoma"/>
      <family val="2"/>
    </font>
    <font>
      <b/>
      <sz val="8"/>
      <color rgb="FF3F3F3F"/>
      <name val="Tahoma"/>
      <family val="2"/>
    </font>
    <font>
      <b/>
      <sz val="8"/>
      <color rgb="FFFA7D00"/>
      <name val="Tahoma"/>
      <family val="2"/>
    </font>
    <font>
      <sz val="8"/>
      <color rgb="FFFA7D00"/>
      <name val="Tahoma"/>
      <family val="2"/>
    </font>
    <font>
      <b/>
      <sz val="8"/>
      <color theme="0"/>
      <name val="Tahoma"/>
      <family val="2"/>
    </font>
    <font>
      <sz val="8"/>
      <color rgb="FFFF0000"/>
      <name val="Tahoma"/>
      <family val="2"/>
    </font>
    <font>
      <sz val="8"/>
      <name val="Arial"/>
      <family val="2"/>
    </font>
    <font>
      <i/>
      <sz val="8"/>
      <color rgb="FF7F7F7F"/>
      <name val="Tahoma"/>
      <family val="2"/>
    </font>
    <font>
      <b/>
      <sz val="8"/>
      <color theme="1"/>
      <name val="Tahoma"/>
      <family val="2"/>
    </font>
    <font>
      <sz val="8"/>
      <color theme="0"/>
      <name val="Tahoma"/>
      <family val="2"/>
    </font>
    <font>
      <sz val="8"/>
      <color theme="1"/>
      <name val="Tahoma"/>
      <family val="2"/>
    </font>
    <font>
      <b/>
      <sz val="8"/>
      <name val="Tahoma"/>
      <family val="2"/>
    </font>
    <font>
      <b/>
      <sz val="14"/>
      <name val="Tahoma"/>
      <family val="2"/>
    </font>
    <font>
      <b/>
      <sz val="14"/>
      <name val="Tahoma"/>
      <family val="2"/>
      <scheme val="major"/>
    </font>
    <font>
      <b/>
      <sz val="13"/>
      <name val="Tahoma"/>
      <family val="2"/>
    </font>
    <font>
      <b/>
      <sz val="13"/>
      <name val="Tahoma"/>
      <family val="2"/>
      <scheme val="major"/>
    </font>
    <font>
      <b/>
      <sz val="12"/>
      <name val="Tahoma"/>
      <family val="2"/>
    </font>
    <font>
      <b/>
      <sz val="12"/>
      <name val="Tahoma"/>
      <family val="2"/>
      <scheme val="major"/>
    </font>
    <font>
      <b/>
      <sz val="10"/>
      <name val="Tahoma"/>
      <family val="2"/>
    </font>
    <font>
      <b/>
      <sz val="10"/>
      <name val="Tahoma"/>
      <family val="2"/>
      <scheme val="major"/>
    </font>
    <font>
      <b/>
      <sz val="9"/>
      <name val="Tahoma"/>
      <family val="2"/>
    </font>
    <font>
      <b/>
      <sz val="9"/>
      <name val="Tahoma"/>
      <family val="2"/>
      <scheme val="major"/>
    </font>
    <font>
      <b/>
      <sz val="8"/>
      <name val="Tahoma"/>
      <family val="2"/>
      <scheme val="major"/>
    </font>
    <font>
      <sz val="8"/>
      <name val="Tahoma"/>
      <family val="2"/>
      <scheme val="major"/>
    </font>
    <font>
      <sz val="8"/>
      <name val="Tahoma"/>
      <family val="2"/>
      <scheme val="minor"/>
    </font>
    <font>
      <b/>
      <sz val="8"/>
      <name val="Tahoma"/>
      <family val="2"/>
      <scheme val="minor"/>
    </font>
    <font>
      <b/>
      <u/>
      <sz val="8"/>
      <color indexed="56"/>
      <name val="Tahoma"/>
      <family val="2"/>
      <scheme val="minor"/>
    </font>
    <font>
      <b/>
      <u/>
      <sz val="10"/>
      <color indexed="56"/>
      <name val="Tahoma"/>
      <family val="2"/>
    </font>
    <font>
      <b/>
      <u/>
      <sz val="10"/>
      <color indexed="56"/>
      <name val="Tahoma"/>
      <family val="2"/>
      <scheme val="minor"/>
    </font>
    <font>
      <b/>
      <u/>
      <sz val="9"/>
      <color indexed="56"/>
      <name val="Tahoma"/>
      <family val="2"/>
    </font>
    <font>
      <b/>
      <u/>
      <sz val="9"/>
      <color indexed="56"/>
      <name val="Tahoma"/>
      <family val="2"/>
      <scheme val="minor"/>
    </font>
    <font>
      <sz val="8"/>
      <color indexed="56"/>
      <name val="Tahoma"/>
      <family val="2"/>
      <scheme val="minor"/>
    </font>
    <font>
      <u/>
      <sz val="8"/>
      <color theme="10"/>
      <name val="Tahoma"/>
      <family val="2"/>
    </font>
    <font>
      <b/>
      <sz val="14"/>
      <color indexed="60"/>
      <name val="Tahoma"/>
      <family val="2"/>
      <scheme val="major"/>
    </font>
    <font>
      <b/>
      <sz val="12"/>
      <color indexed="59"/>
      <name val="Tahoma"/>
      <family val="2"/>
      <scheme val="major"/>
    </font>
    <font>
      <b/>
      <sz val="8"/>
      <color indexed="60"/>
      <name val="Tahoma"/>
      <family val="2"/>
      <scheme val="major"/>
    </font>
    <font>
      <sz val="8"/>
      <color indexed="60"/>
      <name val="Tahoma"/>
      <family val="2"/>
      <scheme val="major"/>
    </font>
    <font>
      <b/>
      <sz val="9"/>
      <color indexed="60"/>
      <name val="Tahoma"/>
      <family val="2"/>
      <scheme val="major"/>
    </font>
    <font>
      <b/>
      <sz val="10"/>
      <color indexed="60"/>
      <name val="Tahoma"/>
      <family val="2"/>
      <scheme val="major"/>
    </font>
    <font>
      <b/>
      <sz val="13"/>
      <color indexed="60"/>
      <name val="Tahoma"/>
      <family val="2"/>
      <scheme val="major"/>
    </font>
    <font>
      <b/>
      <sz val="8"/>
      <color indexed="59"/>
      <name val="Tahoma"/>
      <family val="2"/>
      <scheme val="major"/>
    </font>
    <font>
      <b/>
      <sz val="8"/>
      <color indexed="58"/>
      <name val="Tahoma"/>
      <family val="2"/>
      <scheme val="major"/>
    </font>
    <font>
      <sz val="8"/>
      <color indexed="60"/>
      <name val="Tahoma"/>
      <family val="2"/>
      <scheme val="minor"/>
    </font>
    <font>
      <b/>
      <sz val="8"/>
      <color indexed="60"/>
      <name val="Tahoma"/>
      <family val="2"/>
      <scheme val="minor"/>
    </font>
    <font>
      <sz val="8"/>
      <color indexed="18"/>
      <name val="Tahoma"/>
      <family val="2"/>
      <scheme val="minor"/>
    </font>
    <font>
      <sz val="8"/>
      <color indexed="59"/>
      <name val="Tahoma"/>
      <family val="2"/>
      <scheme val="major"/>
    </font>
    <font>
      <sz val="8"/>
      <color indexed="59"/>
      <name val="Tahoma"/>
      <family val="2"/>
      <scheme val="minor"/>
    </font>
    <font>
      <b/>
      <sz val="8"/>
      <color indexed="59"/>
      <name val="Tahoma"/>
      <family val="2"/>
      <scheme val="minor"/>
    </font>
    <font>
      <b/>
      <sz val="10"/>
      <color indexed="59"/>
      <name val="Tahoma"/>
      <family val="2"/>
      <scheme val="major"/>
    </font>
    <font>
      <sz val="8"/>
      <color rgb="FFFFFFFF"/>
      <name val="Tahoma"/>
      <family val="2"/>
      <scheme val="minor"/>
    </font>
    <font>
      <sz val="8"/>
      <color indexed="18"/>
      <name val="Arial"/>
      <family val="2"/>
    </font>
    <font>
      <sz val="9"/>
      <color indexed="81"/>
      <name val="Tahoma"/>
      <family val="2"/>
    </font>
    <font>
      <b/>
      <sz val="9"/>
      <color indexed="81"/>
      <name val="Tahoma"/>
      <family val="2"/>
    </font>
    <font>
      <sz val="8"/>
      <color indexed="81"/>
      <name val="Tahoma"/>
      <family val="2"/>
    </font>
    <font>
      <i/>
      <sz val="8"/>
      <name val="Tahoma"/>
      <family val="2"/>
      <scheme val="minor"/>
    </font>
    <font>
      <i/>
      <sz val="8"/>
      <color indexed="59"/>
      <name val="Tahoma"/>
      <family val="2"/>
      <scheme val="major"/>
    </font>
    <font>
      <i/>
      <sz val="8"/>
      <color indexed="59"/>
      <name val="Tahoma"/>
      <family val="2"/>
      <scheme val="minor"/>
    </font>
    <font>
      <b/>
      <sz val="9"/>
      <color indexed="59"/>
      <name val="Tahoma"/>
      <family val="2"/>
      <scheme val="major"/>
    </font>
    <font>
      <b/>
      <sz val="9"/>
      <color indexed="63"/>
      <name val="Tahoma"/>
      <family val="2"/>
    </font>
    <font>
      <i/>
      <sz val="8"/>
      <name val="Tahoma"/>
      <family val="2"/>
    </font>
    <font>
      <i/>
      <sz val="8"/>
      <color indexed="60"/>
      <name val="Tahoma"/>
      <family val="2"/>
      <scheme val="major"/>
    </font>
    <font>
      <u/>
      <sz val="8"/>
      <color indexed="60"/>
      <name val="Tahoma"/>
      <family val="2"/>
    </font>
    <font>
      <u/>
      <sz val="8"/>
      <color indexed="60"/>
      <name val="Tahoma"/>
      <family val="2"/>
      <scheme val="major"/>
    </font>
    <font>
      <sz val="8"/>
      <color rgb="FFFFFFFF"/>
      <name val="Tahoma"/>
      <family val="2"/>
    </font>
    <font>
      <sz val="8"/>
      <color indexed="60"/>
      <name val="Tahoma"/>
      <family val="2"/>
    </font>
    <font>
      <sz val="8"/>
      <color indexed="63"/>
      <name val="Tahoma"/>
      <family val="2"/>
    </font>
    <font>
      <sz val="8"/>
      <color indexed="58"/>
      <name val="Tahoma"/>
      <family val="2"/>
    </font>
    <font>
      <sz val="8"/>
      <color indexed="59"/>
      <name val="Tahoma"/>
      <family val="2"/>
    </font>
    <font>
      <sz val="8"/>
      <color indexed="18"/>
      <name val="Tahoma"/>
      <family val="2"/>
    </font>
    <font>
      <sz val="8"/>
      <color rgb="FFFFFFFF"/>
      <name val="Tahoma"/>
      <family val="2"/>
      <scheme val="major"/>
    </font>
    <font>
      <b/>
      <sz val="10"/>
      <color indexed="56"/>
      <name val="Tahoma"/>
      <family val="2"/>
      <scheme val="minor"/>
    </font>
    <font>
      <b/>
      <sz val="9"/>
      <color indexed="56"/>
      <name val="Tahoma"/>
      <family val="2"/>
      <scheme val="minor"/>
    </font>
  </fonts>
  <fills count="43">
    <fill>
      <patternFill patternType="none"/>
    </fill>
    <fill>
      <patternFill patternType="gray125"/>
    </fill>
    <fill>
      <patternFill patternType="solid">
        <fgColor indexed="1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indexed="58"/>
        <bgColor indexed="64"/>
      </patternFill>
    </fill>
    <fill>
      <patternFill patternType="solid">
        <fgColor indexed="56"/>
        <bgColor indexed="64"/>
      </patternFill>
    </fill>
    <fill>
      <patternFill patternType="solid">
        <fgColor indexed="59"/>
        <bgColor indexed="64"/>
      </patternFill>
    </fill>
    <fill>
      <patternFill patternType="solid">
        <fgColor indexed="60"/>
        <bgColor indexed="64"/>
      </patternFill>
    </fill>
    <fill>
      <patternFill patternType="solid">
        <fgColor indexed="63"/>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dashed">
        <color indexed="64"/>
      </bottom>
      <diagonal/>
    </border>
    <border>
      <left/>
      <right style="thin">
        <color indexed="64"/>
      </right>
      <top/>
      <bottom/>
      <diagonal/>
    </border>
    <border>
      <left style="dashed">
        <color indexed="64"/>
      </left>
      <right/>
      <top style="thin">
        <color indexed="64"/>
      </top>
      <bottom style="dashed">
        <color indexed="64"/>
      </bottom>
      <diagonal/>
    </border>
    <border>
      <left/>
      <right/>
      <top style="thin">
        <color indexed="64"/>
      </top>
      <bottom/>
      <diagonal/>
    </border>
    <border>
      <left/>
      <right/>
      <top style="dashed">
        <color indexed="64"/>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indexed="18"/>
      </left>
      <right style="thin">
        <color indexed="18"/>
      </right>
      <top style="thin">
        <color indexed="18"/>
      </top>
      <bottom style="thin">
        <color indexed="1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18"/>
      </left>
      <right/>
      <top style="thin">
        <color indexed="18"/>
      </top>
      <bottom style="thin">
        <color indexed="18"/>
      </bottom>
      <diagonal/>
    </border>
    <border>
      <left/>
      <right style="thin">
        <color indexed="18"/>
      </right>
      <top style="thin">
        <color indexed="18"/>
      </top>
      <bottom style="thin">
        <color indexed="18"/>
      </bottom>
      <diagonal/>
    </border>
    <border>
      <left/>
      <right/>
      <top style="thin">
        <color indexed="18"/>
      </top>
      <bottom/>
      <diagonal/>
    </border>
    <border>
      <left style="thin">
        <color indexed="18"/>
      </left>
      <right style="thin">
        <color indexed="64"/>
      </right>
      <top style="thin">
        <color indexed="18"/>
      </top>
      <bottom style="thin">
        <color indexed="18"/>
      </bottom>
      <diagonal/>
    </border>
    <border>
      <left/>
      <right style="thin">
        <color indexed="64"/>
      </right>
      <top/>
      <bottom style="medium">
        <color indexed="18"/>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right style="dotted">
        <color indexed="64"/>
      </right>
      <top style="thin">
        <color indexed="64"/>
      </top>
      <bottom/>
      <diagonal/>
    </border>
    <border>
      <left style="dotted">
        <color indexed="64"/>
      </left>
      <right style="dotted">
        <color indexed="64"/>
      </right>
      <top style="dotted">
        <color indexed="64"/>
      </top>
      <bottom style="thin">
        <color indexed="64"/>
      </bottom>
      <diagonal/>
    </border>
    <border>
      <left style="dotted">
        <color indexed="64"/>
      </left>
      <right style="dotted">
        <color indexed="64"/>
      </right>
      <top style="thin">
        <color indexed="64"/>
      </top>
      <bottom style="dotted">
        <color indexed="64"/>
      </bottom>
      <diagonal/>
    </border>
    <border>
      <left style="thin">
        <color indexed="58"/>
      </left>
      <right style="thin">
        <color indexed="58"/>
      </right>
      <top style="thin">
        <color indexed="58"/>
      </top>
      <bottom/>
      <diagonal/>
    </border>
    <border>
      <left style="thin">
        <color indexed="58"/>
      </left>
      <right style="thin">
        <color indexed="58"/>
      </right>
      <top style="thin">
        <color indexed="58"/>
      </top>
      <bottom style="thin">
        <color indexed="58"/>
      </bottom>
      <diagonal/>
    </border>
    <border>
      <left style="thin">
        <color indexed="56"/>
      </left>
      <right style="thin">
        <color indexed="56"/>
      </right>
      <top style="thin">
        <color indexed="56"/>
      </top>
      <bottom/>
      <diagonal/>
    </border>
    <border>
      <left style="thin">
        <color indexed="56"/>
      </left>
      <right style="thin">
        <color indexed="56"/>
      </right>
      <top style="thin">
        <color indexed="56"/>
      </top>
      <bottom style="thin">
        <color indexed="56"/>
      </bottom>
      <diagonal/>
    </border>
    <border>
      <left style="thin">
        <color indexed="59"/>
      </left>
      <right style="thin">
        <color indexed="59"/>
      </right>
      <top style="thin">
        <color indexed="59"/>
      </top>
      <bottom/>
      <diagonal/>
    </border>
    <border>
      <left style="thin">
        <color indexed="59"/>
      </left>
      <right style="thin">
        <color indexed="59"/>
      </right>
      <top style="thin">
        <color indexed="59"/>
      </top>
      <bottom style="thin">
        <color indexed="59"/>
      </bottom>
      <diagonal/>
    </border>
    <border>
      <left style="thin">
        <color indexed="60"/>
      </left>
      <right style="thin">
        <color indexed="60"/>
      </right>
      <top style="thin">
        <color indexed="60"/>
      </top>
      <bottom/>
      <diagonal/>
    </border>
    <border>
      <left style="thin">
        <color indexed="60"/>
      </left>
      <right style="thin">
        <color indexed="60"/>
      </right>
      <top style="thin">
        <color indexed="60"/>
      </top>
      <bottom style="thin">
        <color indexed="60"/>
      </bottom>
      <diagonal/>
    </border>
    <border>
      <left style="thin">
        <color indexed="18"/>
      </left>
      <right style="thin">
        <color indexed="18"/>
      </right>
      <top style="thin">
        <color indexed="18"/>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06">
    <xf numFmtId="0" fontId="0" fillId="0" borderId="0" applyFill="0" applyBorder="0">
      <alignment vertical="center"/>
    </xf>
    <xf numFmtId="0" fontId="51" fillId="0" borderId="0" applyNumberFormat="0" applyFill="0" applyBorder="0" applyAlignment="0" applyProtection="0">
      <alignment vertical="top"/>
      <protection locked="0"/>
    </xf>
    <xf numFmtId="167"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applyFill="0" applyBorder="0">
      <alignment vertical="center"/>
    </xf>
    <xf numFmtId="0" fontId="3" fillId="0" borderId="0" applyFill="0" applyBorder="0">
      <alignment vertical="center"/>
    </xf>
    <xf numFmtId="0" fontId="4" fillId="0" borderId="0" applyFill="0" applyBorder="0">
      <alignment vertical="center"/>
    </xf>
    <xf numFmtId="0" fontId="1" fillId="0" borderId="0" applyFill="0" applyBorder="0">
      <alignment vertical="center"/>
    </xf>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1" applyNumberFormat="0" applyAlignment="0" applyProtection="0"/>
    <xf numFmtId="0" fontId="20" fillId="8" borderId="12" applyNumberFormat="0" applyAlignment="0" applyProtection="0"/>
    <xf numFmtId="0" fontId="21" fillId="8" borderId="11" applyNumberFormat="0" applyAlignment="0" applyProtection="0"/>
    <xf numFmtId="0" fontId="22" fillId="0" borderId="13" applyNumberFormat="0" applyFill="0" applyAlignment="0" applyProtection="0"/>
    <xf numFmtId="0" fontId="23" fillId="9" borderId="14" applyNumberFormat="0" applyAlignment="0" applyProtection="0"/>
    <xf numFmtId="0" fontId="24" fillId="0" borderId="0" applyNumberFormat="0" applyFill="0" applyBorder="0" applyAlignment="0" applyProtection="0"/>
    <xf numFmtId="0" fontId="25" fillId="10" borderId="15" applyNumberFormat="0" applyFont="0" applyAlignment="0" applyProtection="0"/>
    <xf numFmtId="0" fontId="26" fillId="0" borderId="0" applyNumberFormat="0" applyFill="0" applyBorder="0" applyAlignment="0" applyProtection="0"/>
    <xf numFmtId="0" fontId="27" fillId="0" borderId="16" applyNumberFormat="0" applyFill="0" applyAlignment="0" applyProtection="0"/>
    <xf numFmtId="0" fontId="28"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28" fillId="34" borderId="0" applyNumberFormat="0" applyBorder="0" applyAlignment="0" applyProtection="0"/>
    <xf numFmtId="0" fontId="32" fillId="0" borderId="0" applyFill="0" applyBorder="0">
      <alignment vertical="center"/>
    </xf>
    <xf numFmtId="0" fontId="34" fillId="0" borderId="0" applyFill="0" applyBorder="0">
      <alignment vertical="center"/>
    </xf>
    <xf numFmtId="0" fontId="36" fillId="0" borderId="0" applyFill="0" applyBorder="0">
      <alignment vertical="center"/>
    </xf>
    <xf numFmtId="0" fontId="38" fillId="0" borderId="0" applyFill="0" applyBorder="0">
      <alignment vertical="center"/>
    </xf>
    <xf numFmtId="0" fontId="40" fillId="0" borderId="0" applyFill="0" applyBorder="0">
      <alignment vertical="center"/>
    </xf>
    <xf numFmtId="0" fontId="41" fillId="0" borderId="0" applyFill="0" applyBorder="0">
      <alignment vertical="center"/>
    </xf>
    <xf numFmtId="0" fontId="42" fillId="0" borderId="0" applyFill="0" applyBorder="0">
      <alignment vertical="center"/>
    </xf>
    <xf numFmtId="0" fontId="42" fillId="0" borderId="0" applyFill="0" applyBorder="0">
      <alignment vertical="center"/>
      <protection locked="0"/>
    </xf>
    <xf numFmtId="0" fontId="43" fillId="0" borderId="10">
      <alignment vertical="center"/>
      <protection locked="0"/>
    </xf>
    <xf numFmtId="177" fontId="43" fillId="0" borderId="10">
      <alignment vertical="center"/>
      <protection locked="0"/>
    </xf>
    <xf numFmtId="178" fontId="43" fillId="0" borderId="10">
      <alignment vertical="center"/>
      <protection locked="0"/>
    </xf>
    <xf numFmtId="168" fontId="43" fillId="0" borderId="10">
      <alignment vertical="center"/>
      <protection locked="0"/>
    </xf>
    <xf numFmtId="169" fontId="43" fillId="0" borderId="10">
      <alignment vertical="center"/>
      <protection locked="0"/>
    </xf>
    <xf numFmtId="170" fontId="43" fillId="0" borderId="10">
      <alignment vertical="center"/>
      <protection locked="0"/>
    </xf>
    <xf numFmtId="171" fontId="43" fillId="0" borderId="10">
      <alignment vertical="center"/>
      <protection locked="0"/>
    </xf>
    <xf numFmtId="0" fontId="10" fillId="0" borderId="0" applyNumberFormat="0" applyFont="0" applyFill="0" applyBorder="0">
      <alignment horizontal="center" vertical="center"/>
      <protection locked="0"/>
    </xf>
    <xf numFmtId="177" fontId="43" fillId="0" borderId="0" applyFill="0" applyBorder="0">
      <alignment vertical="center"/>
    </xf>
    <xf numFmtId="178" fontId="43" fillId="0" borderId="0" applyFill="0" applyBorder="0">
      <alignment vertical="center"/>
    </xf>
    <xf numFmtId="168" fontId="43" fillId="0" borderId="0" applyFill="0" applyBorder="0">
      <alignment vertical="center"/>
    </xf>
    <xf numFmtId="169" fontId="43" fillId="0" borderId="0" applyFill="0" applyBorder="0">
      <alignment vertical="center"/>
    </xf>
    <xf numFmtId="170" fontId="43" fillId="0" borderId="0" applyFill="0" applyBorder="0">
      <alignment vertical="center"/>
    </xf>
    <xf numFmtId="171" fontId="43" fillId="0" borderId="0" applyFill="0" applyBorder="0">
      <alignment vertical="center"/>
    </xf>
    <xf numFmtId="0" fontId="44" fillId="0" borderId="0" applyFill="0" applyBorder="0">
      <alignment vertical="center"/>
    </xf>
    <xf numFmtId="0" fontId="44" fillId="0" borderId="1" applyFill="0">
      <alignment horizontal="center" vertical="center"/>
    </xf>
    <xf numFmtId="175" fontId="43" fillId="0" borderId="1" applyFill="0">
      <alignment horizontal="center" vertical="center"/>
    </xf>
    <xf numFmtId="0" fontId="43" fillId="0" borderId="1" applyFill="0">
      <alignment horizontal="center" vertical="center"/>
    </xf>
    <xf numFmtId="0" fontId="45"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7" fillId="0" borderId="0" applyFill="0" applyBorder="0">
      <alignment vertical="center"/>
    </xf>
    <xf numFmtId="0" fontId="49" fillId="0" borderId="0" applyFill="0" applyBorder="0">
      <alignment vertical="center"/>
    </xf>
    <xf numFmtId="0" fontId="50" fillId="0" borderId="0" applyFill="0" applyBorder="0">
      <alignment vertical="center"/>
    </xf>
    <xf numFmtId="0" fontId="50" fillId="0" borderId="0" applyFill="0" applyBorder="0">
      <alignment vertical="center"/>
    </xf>
    <xf numFmtId="0" fontId="31" fillId="0" borderId="0" applyFill="0" applyBorder="0">
      <alignment vertical="center"/>
    </xf>
    <xf numFmtId="0" fontId="33" fillId="0" borderId="0" applyFill="0" applyBorder="0">
      <alignment vertical="center"/>
    </xf>
    <xf numFmtId="0" fontId="35" fillId="0" borderId="0" applyFill="0" applyBorder="0">
      <alignment vertical="center"/>
    </xf>
    <xf numFmtId="0" fontId="37" fillId="0" borderId="0" applyFill="0" applyBorder="0">
      <alignment vertical="center"/>
    </xf>
    <xf numFmtId="0" fontId="39" fillId="0" borderId="0" applyFill="0" applyBorder="0">
      <alignment vertical="center"/>
    </xf>
    <xf numFmtId="0" fontId="30" fillId="0" borderId="0" applyFill="0" applyBorder="0">
      <alignment vertical="center"/>
    </xf>
    <xf numFmtId="0" fontId="10" fillId="0" borderId="0" applyFill="0" applyBorder="0">
      <alignment vertical="center"/>
    </xf>
    <xf numFmtId="0" fontId="10" fillId="0" borderId="0" applyFill="0" applyBorder="0">
      <alignment vertical="center"/>
      <protection locked="0"/>
    </xf>
    <xf numFmtId="168" fontId="10" fillId="0" borderId="0" applyFill="0" applyBorder="0">
      <alignment vertical="center"/>
    </xf>
    <xf numFmtId="169" fontId="10" fillId="0" borderId="0" applyFill="0" applyBorder="0">
      <alignment vertical="center"/>
    </xf>
    <xf numFmtId="170" fontId="10" fillId="0" borderId="0" applyFill="0" applyBorder="0">
      <alignment vertical="center"/>
    </xf>
    <xf numFmtId="171" fontId="10" fillId="0" borderId="0" applyFill="0" applyBorder="0">
      <alignment vertical="center"/>
    </xf>
    <xf numFmtId="177" fontId="10" fillId="0" borderId="0" applyFill="0" applyBorder="0">
      <alignment vertical="center"/>
    </xf>
    <xf numFmtId="178" fontId="10" fillId="0" borderId="0" applyFill="0" applyBorder="0">
      <alignment vertical="center"/>
    </xf>
    <xf numFmtId="0" fontId="30" fillId="0" borderId="0" applyFill="0" applyBorder="0">
      <alignment vertical="center"/>
    </xf>
    <xf numFmtId="0" fontId="13"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6" fillId="0" borderId="0" applyFill="0" applyBorder="0">
      <alignment vertical="center"/>
    </xf>
    <xf numFmtId="0" fontId="48" fillId="0" borderId="0" applyFill="0" applyBorder="0">
      <alignment vertical="center"/>
    </xf>
    <xf numFmtId="0" fontId="14" fillId="0" borderId="0" applyFill="0" applyBorder="0">
      <alignment vertical="center"/>
    </xf>
    <xf numFmtId="0" fontId="14" fillId="0" borderId="0" applyFill="0" applyBorder="0">
      <alignment vertical="center"/>
    </xf>
    <xf numFmtId="0" fontId="10" fillId="0" borderId="0" applyFill="0" applyBorder="0">
      <alignment vertical="center"/>
    </xf>
  </cellStyleXfs>
  <cellXfs count="313">
    <xf numFmtId="0" fontId="0" fillId="0" borderId="0" xfId="0">
      <alignment vertical="center"/>
    </xf>
    <xf numFmtId="0" fontId="52" fillId="0" borderId="0" xfId="50" applyFont="1">
      <alignment vertical="center"/>
    </xf>
    <xf numFmtId="0" fontId="36" fillId="0" borderId="0" xfId="52" applyFont="1">
      <alignment vertical="center"/>
    </xf>
    <xf numFmtId="0" fontId="53" fillId="0" borderId="0" xfId="52" applyFont="1">
      <alignment vertical="center"/>
    </xf>
    <xf numFmtId="0" fontId="41" fillId="0" borderId="0" xfId="55" applyFont="1">
      <alignment vertical="center"/>
    </xf>
    <xf numFmtId="0" fontId="42" fillId="0" borderId="0" xfId="56" applyFont="1">
      <alignment vertical="center"/>
    </xf>
    <xf numFmtId="0" fontId="55" fillId="0" borderId="0" xfId="56" applyFont="1">
      <alignment vertical="center"/>
    </xf>
    <xf numFmtId="0" fontId="55" fillId="0" borderId="0" xfId="56" applyFont="1">
      <alignment vertical="center"/>
    </xf>
    <xf numFmtId="0" fontId="57" fillId="0" borderId="2" xfId="53" applyFont="1" applyBorder="1">
      <alignment vertical="center"/>
    </xf>
    <xf numFmtId="0" fontId="51" fillId="0" borderId="0" xfId="1" applyAlignment="1" applyProtection="1">
      <alignment vertical="center"/>
    </xf>
    <xf numFmtId="0" fontId="45" fillId="0" borderId="0" xfId="76">
      <alignment vertical="center"/>
    </xf>
    <xf numFmtId="0" fontId="5" fillId="0" borderId="0" xfId="77">
      <alignment horizontal="center" vertical="center"/>
    </xf>
    <xf numFmtId="0" fontId="5" fillId="0" borderId="0" xfId="77" applyAlignment="1">
      <alignment horizontal="right" vertical="center"/>
    </xf>
    <xf numFmtId="0" fontId="5" fillId="0" borderId="0" xfId="77" applyAlignment="1">
      <alignment horizontal="left" vertical="center"/>
    </xf>
    <xf numFmtId="0" fontId="5" fillId="0" borderId="0" xfId="78" applyAlignment="1">
      <alignment horizontal="left" vertical="center"/>
    </xf>
    <xf numFmtId="0" fontId="7" fillId="0" borderId="0" xfId="0" applyFont="1" applyAlignment="1">
      <alignment horizontal="left" vertical="center"/>
    </xf>
    <xf numFmtId="0" fontId="0" fillId="0" borderId="0" xfId="0">
      <alignment vertical="center"/>
    </xf>
    <xf numFmtId="0" fontId="9" fillId="0" borderId="0" xfId="0" applyFont="1" applyAlignment="1">
      <alignment horizontal="left" vertical="center"/>
    </xf>
    <xf numFmtId="0" fontId="0" fillId="0" borderId="2" xfId="0" applyBorder="1">
      <alignment vertical="center"/>
    </xf>
    <xf numFmtId="0" fontId="0" fillId="2" borderId="0" xfId="0" applyFill="1">
      <alignment vertical="center"/>
    </xf>
    <xf numFmtId="0" fontId="0" fillId="0" borderId="3" xfId="0" applyBorder="1">
      <alignment vertical="center"/>
    </xf>
    <xf numFmtId="0" fontId="0" fillId="2" borderId="0" xfId="0" applyFill="1">
      <alignment vertical="center"/>
    </xf>
    <xf numFmtId="0" fontId="0" fillId="0" borderId="0" xfId="0" applyBorder="1">
      <alignment vertical="center"/>
    </xf>
    <xf numFmtId="0" fontId="0" fillId="2" borderId="2" xfId="0" applyFill="1" applyBorder="1">
      <alignment vertical="center"/>
    </xf>
    <xf numFmtId="0" fontId="12" fillId="0" borderId="0" xfId="0" applyFont="1" applyAlignment="1">
      <alignment horizontal="left" vertical="center"/>
    </xf>
    <xf numFmtId="0" fontId="0" fillId="0" borderId="0" xfId="0" applyFill="1">
      <alignment vertical="center"/>
    </xf>
    <xf numFmtId="0" fontId="54" fillId="0" borderId="0" xfId="55" applyFont="1" applyAlignment="1">
      <alignment horizontal="left" vertical="center"/>
    </xf>
    <xf numFmtId="0" fontId="55" fillId="0" borderId="0" xfId="56" applyFont="1" applyAlignment="1">
      <alignment horizontal="left" vertical="center"/>
    </xf>
    <xf numFmtId="0" fontId="58" fillId="0" borderId="0" xfId="51" applyFont="1">
      <alignment vertical="center"/>
    </xf>
    <xf numFmtId="0" fontId="10" fillId="0" borderId="0" xfId="105">
      <alignment vertical="center"/>
    </xf>
    <xf numFmtId="0" fontId="35" fillId="0" borderId="0" xfId="85">
      <alignment vertical="center"/>
    </xf>
    <xf numFmtId="0" fontId="31" fillId="0" borderId="0" xfId="83">
      <alignment vertical="center"/>
    </xf>
    <xf numFmtId="0" fontId="5" fillId="0" borderId="0" xfId="99">
      <alignment horizontal="center" vertical="center"/>
    </xf>
    <xf numFmtId="0" fontId="57" fillId="0" borderId="0" xfId="53" applyFont="1" applyAlignment="1">
      <alignment horizontal="left" vertical="center"/>
    </xf>
    <xf numFmtId="0" fontId="56" fillId="0" borderId="0" xfId="54" applyFont="1" applyAlignment="1">
      <alignment horizontal="left" vertical="center"/>
    </xf>
    <xf numFmtId="0" fontId="56" fillId="0" borderId="2" xfId="54" applyFont="1" applyBorder="1" applyAlignment="1">
      <alignment horizontal="left" vertical="center"/>
    </xf>
    <xf numFmtId="0" fontId="55" fillId="0" borderId="0" xfId="56" quotePrefix="1" applyFont="1" applyAlignment="1">
      <alignment horizontal="left" vertical="center"/>
    </xf>
    <xf numFmtId="0" fontId="55" fillId="0" borderId="0" xfId="56" applyFont="1" applyAlignment="1">
      <alignment horizontal="center" vertical="center"/>
    </xf>
    <xf numFmtId="0" fontId="62" fillId="0" borderId="1" xfId="73" applyFont="1" applyAlignment="1">
      <alignment horizontal="center" vertical="center"/>
    </xf>
    <xf numFmtId="0" fontId="61" fillId="0" borderId="1" xfId="75" applyFont="1" applyAlignment="1">
      <alignment horizontal="center" vertical="center"/>
    </xf>
    <xf numFmtId="172" fontId="61" fillId="0" borderId="1" xfId="74" applyNumberFormat="1" applyFont="1" applyAlignment="1">
      <alignment horizontal="center" vertical="center"/>
    </xf>
    <xf numFmtId="172" fontId="43" fillId="0" borderId="1" xfId="74" applyNumberFormat="1" applyFont="1" applyAlignment="1">
      <alignment horizontal="center" vertical="center"/>
    </xf>
    <xf numFmtId="0" fontId="36" fillId="2" borderId="0" xfId="52" applyFont="1" applyFill="1">
      <alignment vertical="center"/>
    </xf>
    <xf numFmtId="0" fontId="52" fillId="2" borderId="0" xfId="50" applyFont="1" applyFill="1">
      <alignment vertical="center"/>
    </xf>
    <xf numFmtId="0" fontId="5" fillId="2" borderId="0" xfId="77" applyFill="1">
      <alignment horizontal="center" vertical="center"/>
    </xf>
    <xf numFmtId="0" fontId="5" fillId="2" borderId="0" xfId="77" applyFill="1" applyAlignment="1">
      <alignment horizontal="right" vertical="center"/>
    </xf>
    <xf numFmtId="0" fontId="5" fillId="2" borderId="0" xfId="77" applyFill="1" applyAlignment="1">
      <alignment horizontal="left" vertical="center"/>
    </xf>
    <xf numFmtId="0" fontId="5" fillId="2" borderId="0" xfId="78" applyFill="1" applyAlignment="1">
      <alignment horizontal="left" vertical="center"/>
    </xf>
    <xf numFmtId="0" fontId="57" fillId="2" borderId="0" xfId="53" applyFont="1" applyFill="1" applyAlignment="1">
      <alignment horizontal="left" vertical="center"/>
    </xf>
    <xf numFmtId="0" fontId="56" fillId="2" borderId="0" xfId="54" applyFont="1" applyFill="1" applyAlignment="1">
      <alignment horizontal="left" vertical="center"/>
    </xf>
    <xf numFmtId="0" fontId="55" fillId="2" borderId="0" xfId="56" applyFont="1" applyFill="1" applyAlignment="1">
      <alignment horizontal="left" vertical="center"/>
    </xf>
    <xf numFmtId="0" fontId="54" fillId="2" borderId="0" xfId="55" applyFont="1" applyFill="1" applyAlignment="1">
      <alignment horizontal="left" vertical="center"/>
    </xf>
    <xf numFmtId="0" fontId="55" fillId="2" borderId="0" xfId="56" quotePrefix="1" applyFont="1" applyFill="1" applyAlignment="1">
      <alignment horizontal="right" vertical="center"/>
    </xf>
    <xf numFmtId="0" fontId="55" fillId="2" borderId="0" xfId="56" quotePrefix="1" applyFont="1" applyFill="1" applyAlignment="1">
      <alignment horizontal="left" vertical="center"/>
    </xf>
    <xf numFmtId="0" fontId="63" fillId="2" borderId="0" xfId="65" applyFont="1" applyFill="1" applyAlignment="1">
      <alignment horizontal="center" vertical="center"/>
      <protection locked="0"/>
    </xf>
    <xf numFmtId="0" fontId="66" fillId="2" borderId="0" xfId="72" applyFont="1" applyFill="1" applyAlignment="1">
      <alignment horizontal="left" vertical="center"/>
    </xf>
    <xf numFmtId="0" fontId="66" fillId="2" borderId="0" xfId="72" applyFont="1" applyFill="1" applyAlignment="1">
      <alignment horizontal="right" vertical="center"/>
    </xf>
    <xf numFmtId="178" fontId="43" fillId="2" borderId="0" xfId="67" applyFont="1" applyFill="1" applyAlignment="1">
      <alignment horizontal="right" vertical="center"/>
    </xf>
    <xf numFmtId="177" fontId="65" fillId="2" borderId="0" xfId="66" applyFont="1" applyFill="1" applyAlignment="1">
      <alignment horizontal="right" vertical="center"/>
    </xf>
    <xf numFmtId="0" fontId="64" fillId="2" borderId="0" xfId="56" applyFont="1" applyFill="1" applyAlignment="1">
      <alignment horizontal="right" vertical="center"/>
    </xf>
    <xf numFmtId="172" fontId="43" fillId="2" borderId="0" xfId="68" applyNumberFormat="1" applyFont="1" applyFill="1" applyAlignment="1">
      <alignment horizontal="right" vertical="center"/>
    </xf>
    <xf numFmtId="0" fontId="66" fillId="2" borderId="2" xfId="72" applyFont="1" applyFill="1" applyBorder="1" applyAlignment="1">
      <alignment horizontal="left" vertical="center"/>
    </xf>
    <xf numFmtId="0" fontId="66" fillId="2" borderId="2" xfId="72" applyFont="1" applyFill="1" applyBorder="1" applyAlignment="1">
      <alignment horizontal="right" vertical="center"/>
    </xf>
    <xf numFmtId="0" fontId="55" fillId="2" borderId="2" xfId="56" applyFont="1" applyFill="1" applyBorder="1" applyAlignment="1">
      <alignment horizontal="left" vertical="center"/>
    </xf>
    <xf numFmtId="168" fontId="65" fillId="2" borderId="2" xfId="68" applyFont="1" applyFill="1" applyBorder="1" applyAlignment="1">
      <alignment horizontal="right" vertical="center"/>
    </xf>
    <xf numFmtId="0" fontId="56" fillId="2" borderId="0" xfId="54" applyFont="1" applyFill="1">
      <alignment vertical="center"/>
    </xf>
    <xf numFmtId="0" fontId="54" fillId="2" borderId="0" xfId="55" applyFont="1" applyFill="1">
      <alignment vertical="center"/>
    </xf>
    <xf numFmtId="169" fontId="61" fillId="0" borderId="10" xfId="62" applyFont="1">
      <alignment vertical="center"/>
      <protection locked="0"/>
    </xf>
    <xf numFmtId="169" fontId="61" fillId="0" borderId="19" xfId="62" applyFont="1" applyBorder="1">
      <alignment vertical="center"/>
      <protection locked="0"/>
    </xf>
    <xf numFmtId="168" fontId="61" fillId="0" borderId="21" xfId="61" applyFont="1" applyBorder="1">
      <alignment vertical="center"/>
      <protection locked="0"/>
    </xf>
    <xf numFmtId="0" fontId="55" fillId="2" borderId="0" xfId="56" applyFont="1" applyFill="1">
      <alignment vertical="center"/>
    </xf>
    <xf numFmtId="0" fontId="61" fillId="0" borderId="0" xfId="65" applyFont="1" applyAlignment="1">
      <alignment horizontal="center" vertical="center"/>
      <protection locked="0"/>
    </xf>
    <xf numFmtId="0" fontId="68" fillId="0" borderId="0" xfId="65" applyFont="1" applyAlignment="1">
      <alignment horizontal="center" vertical="center"/>
      <protection locked="0"/>
    </xf>
    <xf numFmtId="0" fontId="54" fillId="0" borderId="2" xfId="55" applyFont="1" applyBorder="1" applyAlignment="1">
      <alignment horizontal="left" vertical="center"/>
    </xf>
    <xf numFmtId="0" fontId="54" fillId="0" borderId="2" xfId="55" applyFont="1" applyBorder="1" applyAlignment="1">
      <alignment horizontal="center" vertical="center"/>
    </xf>
    <xf numFmtId="172" fontId="65" fillId="0" borderId="0" xfId="68" applyNumberFormat="1" applyFont="1" applyAlignment="1">
      <alignment horizontal="center" vertical="center"/>
    </xf>
    <xf numFmtId="172" fontId="66" fillId="0" borderId="1" xfId="68" applyNumberFormat="1" applyFont="1" applyBorder="1" applyAlignment="1">
      <alignment horizontal="center" vertical="center"/>
    </xf>
    <xf numFmtId="0" fontId="41" fillId="0" borderId="0" xfId="55" applyFont="1" applyAlignment="1">
      <alignment horizontal="left" vertical="center"/>
    </xf>
    <xf numFmtId="172" fontId="43" fillId="0" borderId="0" xfId="68" applyNumberFormat="1" applyFont="1" applyAlignment="1">
      <alignment horizontal="center" vertical="center"/>
    </xf>
    <xf numFmtId="172" fontId="44" fillId="0" borderId="17" xfId="68" applyNumberFormat="1" applyFont="1" applyBorder="1" applyAlignment="1">
      <alignment horizontal="center" vertical="center"/>
    </xf>
    <xf numFmtId="172" fontId="54" fillId="0" borderId="0" xfId="55" applyNumberFormat="1" applyFont="1" applyAlignment="1">
      <alignment horizontal="left" vertical="center"/>
    </xf>
    <xf numFmtId="172" fontId="59" fillId="0" borderId="5" xfId="56" applyNumberFormat="1" applyFont="1" applyBorder="1" applyAlignment="1">
      <alignment horizontal="left" vertical="center"/>
    </xf>
    <xf numFmtId="0" fontId="54" fillId="0" borderId="0" xfId="55" applyFont="1" applyBorder="1" applyAlignment="1">
      <alignment horizontal="left" vertical="center"/>
    </xf>
    <xf numFmtId="0" fontId="54" fillId="0" borderId="0" xfId="55" applyFont="1" applyBorder="1" applyAlignment="1">
      <alignment horizontal="center" vertical="center"/>
    </xf>
    <xf numFmtId="0" fontId="5" fillId="2" borderId="0" xfId="78" applyFill="1" applyAlignment="1">
      <alignment horizontal="center" vertical="center"/>
    </xf>
    <xf numFmtId="0" fontId="69" fillId="2" borderId="0" xfId="65" applyFont="1" applyFill="1">
      <alignment horizontal="center" vertical="center"/>
      <protection locked="0"/>
    </xf>
    <xf numFmtId="179" fontId="61" fillId="2" borderId="0" xfId="68" quotePrefix="1" applyNumberFormat="1" applyFont="1" applyFill="1" applyAlignment="1">
      <alignment horizontal="right" vertical="center"/>
    </xf>
    <xf numFmtId="172" fontId="61" fillId="0" borderId="10" xfId="61" applyNumberFormat="1" applyFont="1">
      <alignment vertical="center"/>
      <protection locked="0"/>
    </xf>
    <xf numFmtId="168" fontId="43" fillId="2" borderId="0" xfId="68" applyFont="1" applyFill="1">
      <alignment vertical="center"/>
    </xf>
    <xf numFmtId="0" fontId="66" fillId="0" borderId="0" xfId="72" applyFont="1" applyAlignment="1">
      <alignment horizontal="left" vertical="center"/>
    </xf>
    <xf numFmtId="0" fontId="66" fillId="0" borderId="0" xfId="72" applyFont="1" applyAlignment="1">
      <alignment horizontal="right" vertical="center"/>
    </xf>
    <xf numFmtId="178" fontId="43" fillId="0" borderId="0" xfId="67" applyFont="1" applyAlignment="1">
      <alignment horizontal="right" vertical="center"/>
    </xf>
    <xf numFmtId="177" fontId="65" fillId="0" borderId="0" xfId="66" applyFont="1" applyAlignment="1">
      <alignment horizontal="right" vertical="center"/>
    </xf>
    <xf numFmtId="0" fontId="64" fillId="0" borderId="0" xfId="56" applyFont="1" applyAlignment="1">
      <alignment horizontal="right" vertical="center"/>
    </xf>
    <xf numFmtId="172" fontId="43" fillId="0" borderId="0" xfId="68" applyNumberFormat="1" applyFont="1" applyAlignment="1">
      <alignment horizontal="right" vertical="center"/>
    </xf>
    <xf numFmtId="0" fontId="66" fillId="0" borderId="2" xfId="72" applyFont="1" applyBorder="1" applyAlignment="1">
      <alignment horizontal="left" vertical="center"/>
    </xf>
    <xf numFmtId="0" fontId="66" fillId="0" borderId="2" xfId="72" applyFont="1" applyBorder="1" applyAlignment="1">
      <alignment horizontal="right" vertical="center"/>
    </xf>
    <xf numFmtId="0" fontId="55" fillId="0" borderId="2" xfId="56" applyFont="1" applyBorder="1" applyAlignment="1">
      <alignment horizontal="left" vertical="center"/>
    </xf>
    <xf numFmtId="168" fontId="65" fillId="0" borderId="2" xfId="68" applyFont="1" applyBorder="1" applyAlignment="1">
      <alignment horizontal="right" vertical="center"/>
    </xf>
    <xf numFmtId="0" fontId="56" fillId="0" borderId="0" xfId="54" applyFont="1">
      <alignment vertical="center"/>
    </xf>
    <xf numFmtId="168" fontId="43" fillId="0" borderId="0" xfId="68" applyFont="1">
      <alignment vertical="center"/>
    </xf>
    <xf numFmtId="172" fontId="43" fillId="0" borderId="0" xfId="68" applyNumberFormat="1" applyFont="1">
      <alignment vertical="center"/>
    </xf>
    <xf numFmtId="168" fontId="43" fillId="0" borderId="2" xfId="68" applyFont="1" applyBorder="1">
      <alignment vertical="center"/>
    </xf>
    <xf numFmtId="168" fontId="44" fillId="0" borderId="0" xfId="68" applyFont="1">
      <alignment vertical="center"/>
    </xf>
    <xf numFmtId="176" fontId="44" fillId="0" borderId="4" xfId="68" applyNumberFormat="1" applyFont="1" applyBorder="1" applyAlignment="1">
      <alignment horizontal="right" vertical="center"/>
    </xf>
    <xf numFmtId="0" fontId="38" fillId="0" borderId="0" xfId="53" applyFont="1">
      <alignment vertical="center"/>
    </xf>
    <xf numFmtId="0" fontId="67" fillId="0" borderId="0" xfId="53" applyFont="1">
      <alignment vertical="center"/>
    </xf>
    <xf numFmtId="169" fontId="65" fillId="0" borderId="0" xfId="69" applyFont="1">
      <alignment vertical="center"/>
    </xf>
    <xf numFmtId="172" fontId="65" fillId="0" borderId="0" xfId="68" applyNumberFormat="1" applyFont="1">
      <alignment vertical="center"/>
    </xf>
    <xf numFmtId="0" fontId="62" fillId="0" borderId="1" xfId="73" applyFont="1">
      <alignment horizontal="center" vertical="center"/>
    </xf>
    <xf numFmtId="0" fontId="61" fillId="0" borderId="1" xfId="75" applyFont="1">
      <alignment horizontal="center" vertical="center"/>
    </xf>
    <xf numFmtId="0" fontId="50" fillId="0" borderId="0" xfId="82" applyFont="1" applyAlignment="1">
      <alignment horizontal="center" vertical="center"/>
    </xf>
    <xf numFmtId="0" fontId="5" fillId="0" borderId="0" xfId="77" applyBorder="1">
      <alignment horizontal="center" vertical="center"/>
    </xf>
    <xf numFmtId="0" fontId="45" fillId="0" borderId="0" xfId="76">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42" fillId="0" borderId="0" xfId="56" applyFont="1" applyAlignment="1">
      <alignment horizontal="center" vertical="center"/>
    </xf>
    <xf numFmtId="0" fontId="13" fillId="0" borderId="0" xfId="98">
      <alignment vertical="center"/>
    </xf>
    <xf numFmtId="0" fontId="55" fillId="0" borderId="0" xfId="56" applyFont="1" applyAlignment="1">
      <alignment horizontal="left" vertical="center"/>
    </xf>
    <xf numFmtId="0" fontId="57" fillId="2" borderId="0" xfId="53" applyFont="1" applyFill="1">
      <alignment vertical="center"/>
    </xf>
    <xf numFmtId="168" fontId="61" fillId="0" borderId="10" xfId="61" applyFont="1">
      <alignment vertical="center"/>
      <protection locked="0"/>
    </xf>
    <xf numFmtId="172" fontId="73" fillId="0" borderId="0" xfId="68" applyNumberFormat="1" applyFont="1">
      <alignment vertical="center"/>
    </xf>
    <xf numFmtId="0" fontId="64" fillId="0" borderId="0" xfId="56" applyFont="1">
      <alignment vertical="center"/>
    </xf>
    <xf numFmtId="0" fontId="74" fillId="0" borderId="0" xfId="56" applyFont="1">
      <alignment vertical="center"/>
    </xf>
    <xf numFmtId="169" fontId="43" fillId="0" borderId="0" xfId="69" applyFont="1">
      <alignment vertical="center"/>
    </xf>
    <xf numFmtId="0" fontId="57" fillId="0" borderId="0" xfId="53" applyFont="1">
      <alignment vertical="center"/>
    </xf>
    <xf numFmtId="0" fontId="40" fillId="0" borderId="0" xfId="54" applyFont="1">
      <alignment vertical="center"/>
    </xf>
    <xf numFmtId="168" fontId="43" fillId="0" borderId="0" xfId="68" applyFont="1" applyBorder="1">
      <alignment vertical="center"/>
    </xf>
    <xf numFmtId="168" fontId="43" fillId="0" borderId="3" xfId="68" applyFont="1" applyBorder="1">
      <alignment vertical="center"/>
    </xf>
    <xf numFmtId="168" fontId="65" fillId="0" borderId="3" xfId="68" applyFont="1" applyBorder="1">
      <alignment vertical="center"/>
    </xf>
    <xf numFmtId="172" fontId="65" fillId="0" borderId="3" xfId="68" applyNumberFormat="1" applyFont="1" applyBorder="1">
      <alignment vertical="center"/>
    </xf>
    <xf numFmtId="0" fontId="76" fillId="0" borderId="0" xfId="54" applyFont="1">
      <alignment vertical="center"/>
    </xf>
    <xf numFmtId="168" fontId="73" fillId="0" borderId="0" xfId="68" applyFont="1" applyBorder="1">
      <alignment vertical="center"/>
    </xf>
    <xf numFmtId="168" fontId="44" fillId="0" borderId="6" xfId="68" applyFont="1" applyBorder="1">
      <alignment vertical="center"/>
    </xf>
    <xf numFmtId="0" fontId="76" fillId="2" borderId="0" xfId="54" applyFont="1" applyFill="1">
      <alignment vertical="center"/>
    </xf>
    <xf numFmtId="168" fontId="44" fillId="2" borderId="6" xfId="68" applyFont="1" applyFill="1" applyBorder="1">
      <alignment vertical="center"/>
    </xf>
    <xf numFmtId="0" fontId="64" fillId="2" borderId="0" xfId="56" applyFont="1" applyFill="1">
      <alignment vertical="center"/>
    </xf>
    <xf numFmtId="174" fontId="43" fillId="0" borderId="0" xfId="69" applyNumberFormat="1" applyFont="1">
      <alignment vertical="center"/>
    </xf>
    <xf numFmtId="174" fontId="61" fillId="0" borderId="10" xfId="62" applyNumberFormat="1" applyFont="1">
      <alignment vertical="center"/>
      <protection locked="0"/>
    </xf>
    <xf numFmtId="174" fontId="43" fillId="2" borderId="6" xfId="69" applyNumberFormat="1" applyFont="1" applyFill="1" applyBorder="1">
      <alignment vertical="center"/>
    </xf>
    <xf numFmtId="0" fontId="59" fillId="2" borderId="0" xfId="55" applyFont="1" applyFill="1">
      <alignment vertical="center"/>
    </xf>
    <xf numFmtId="174" fontId="43" fillId="0" borderId="6" xfId="69" applyNumberFormat="1" applyFont="1" applyBorder="1">
      <alignment vertical="center"/>
    </xf>
    <xf numFmtId="0" fontId="59" fillId="0" borderId="0" xfId="55" applyFont="1">
      <alignment vertical="center"/>
    </xf>
    <xf numFmtId="0" fontId="61" fillId="0" borderId="10" xfId="58" applyFont="1" applyAlignment="1">
      <alignment horizontal="center" vertical="center"/>
      <protection locked="0"/>
    </xf>
    <xf numFmtId="179" fontId="61" fillId="0" borderId="0" xfId="68" quotePrefix="1" applyNumberFormat="1" applyFont="1" applyFill="1" applyAlignment="1">
      <alignment horizontal="right" vertical="center"/>
    </xf>
    <xf numFmtId="168" fontId="44" fillId="0" borderId="8" xfId="68" applyFont="1" applyBorder="1">
      <alignment vertical="center"/>
    </xf>
    <xf numFmtId="168" fontId="44" fillId="0" borderId="9" xfId="68" applyFont="1" applyBorder="1">
      <alignment vertical="center"/>
    </xf>
    <xf numFmtId="172" fontId="43" fillId="0" borderId="0" xfId="68" applyNumberFormat="1" applyFont="1" applyBorder="1">
      <alignment vertical="center"/>
    </xf>
    <xf numFmtId="172" fontId="65" fillId="0" borderId="0" xfId="68" applyNumberFormat="1" applyFont="1" applyBorder="1">
      <alignment vertical="center"/>
    </xf>
    <xf numFmtId="168" fontId="43" fillId="0" borderId="0" xfId="68" applyFont="1" applyFill="1">
      <alignment vertical="center"/>
    </xf>
    <xf numFmtId="168" fontId="43" fillId="0" borderId="2" xfId="68" applyFont="1" applyFill="1" applyBorder="1">
      <alignment vertical="center"/>
    </xf>
    <xf numFmtId="168" fontId="65" fillId="0" borderId="7" xfId="68" applyFont="1" applyBorder="1">
      <alignment vertical="center"/>
    </xf>
    <xf numFmtId="0" fontId="55" fillId="0" borderId="0" xfId="56" applyFont="1" applyFill="1">
      <alignment vertical="center"/>
    </xf>
    <xf numFmtId="0" fontId="55" fillId="0" borderId="0" xfId="56" applyFont="1">
      <alignment vertical="center"/>
    </xf>
    <xf numFmtId="0" fontId="10" fillId="0" borderId="0" xfId="105" applyFill="1">
      <alignment vertical="center"/>
    </xf>
    <xf numFmtId="0" fontId="44" fillId="0" borderId="0" xfId="72" applyFont="1" applyFill="1">
      <alignment vertical="center"/>
    </xf>
    <xf numFmtId="0" fontId="44" fillId="0" borderId="0" xfId="72" applyFont="1" applyFill="1" applyAlignment="1">
      <alignment horizontal="right" vertical="center"/>
    </xf>
    <xf numFmtId="0" fontId="10" fillId="0" borderId="0" xfId="89" applyFill="1">
      <alignment vertical="center"/>
    </xf>
    <xf numFmtId="168" fontId="10" fillId="0" borderId="0" xfId="91" applyFill="1">
      <alignment vertical="center"/>
    </xf>
    <xf numFmtId="168" fontId="30" fillId="0" borderId="6" xfId="91" applyFont="1" applyFill="1" applyBorder="1">
      <alignment vertical="center"/>
    </xf>
    <xf numFmtId="168" fontId="30" fillId="0" borderId="8" xfId="91" applyFont="1" applyFill="1" applyBorder="1">
      <alignment vertical="center"/>
    </xf>
    <xf numFmtId="0" fontId="30" fillId="0" borderId="0" xfId="88" applyFill="1">
      <alignment vertical="center"/>
    </xf>
    <xf numFmtId="168" fontId="30" fillId="0" borderId="9" xfId="91" applyFont="1" applyFill="1" applyBorder="1">
      <alignment vertical="center"/>
    </xf>
    <xf numFmtId="0" fontId="30" fillId="0" borderId="2" xfId="97" applyBorder="1">
      <alignment vertical="center"/>
    </xf>
    <xf numFmtId="0" fontId="44" fillId="0" borderId="2" xfId="72" applyFont="1" applyFill="1" applyBorder="1">
      <alignment vertical="center"/>
    </xf>
    <xf numFmtId="0" fontId="43" fillId="0" borderId="1" xfId="75" applyFont="1" applyAlignment="1">
      <alignment horizontal="center" vertical="center"/>
    </xf>
    <xf numFmtId="0" fontId="44" fillId="0" borderId="2" xfId="72" applyFont="1" applyBorder="1" applyAlignment="1">
      <alignment horizontal="right" vertical="center"/>
    </xf>
    <xf numFmtId="0" fontId="54" fillId="0" borderId="0" xfId="55" applyFont="1">
      <alignment vertical="center"/>
    </xf>
    <xf numFmtId="169" fontId="61" fillId="0" borderId="0" xfId="69" applyFont="1">
      <alignment vertical="center"/>
    </xf>
    <xf numFmtId="168" fontId="62" fillId="0" borderId="0" xfId="68" applyFont="1">
      <alignment vertical="center"/>
    </xf>
    <xf numFmtId="168" fontId="61" fillId="0" borderId="32" xfId="68" applyFont="1" applyBorder="1">
      <alignment vertical="center"/>
    </xf>
    <xf numFmtId="168" fontId="43" fillId="0" borderId="33" xfId="68" applyFont="1" applyBorder="1">
      <alignment vertical="center"/>
    </xf>
    <xf numFmtId="168" fontId="43" fillId="0" borderId="34" xfId="68" applyFont="1" applyBorder="1">
      <alignment vertical="center"/>
    </xf>
    <xf numFmtId="0" fontId="10" fillId="0" borderId="0" xfId="105" applyFill="1" applyBorder="1">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55" fillId="0" borderId="0" xfId="56" applyFont="1">
      <alignment vertical="center"/>
    </xf>
    <xf numFmtId="0" fontId="54" fillId="0" borderId="0" xfId="55" applyFont="1">
      <alignment vertical="center"/>
    </xf>
    <xf numFmtId="0" fontId="54" fillId="2" borderId="22" xfId="55" applyFont="1" applyFill="1" applyBorder="1" applyAlignment="1">
      <alignment horizontal="right" vertical="center"/>
    </xf>
    <xf numFmtId="0" fontId="54" fillId="2" borderId="0" xfId="55" quotePrefix="1" applyFont="1" applyFill="1">
      <alignment vertical="center"/>
    </xf>
    <xf numFmtId="0" fontId="55" fillId="0" borderId="0" xfId="56" applyFont="1" applyBorder="1">
      <alignment vertical="center"/>
    </xf>
    <xf numFmtId="0" fontId="79" fillId="0" borderId="0" xfId="56" applyFont="1">
      <alignment vertical="center"/>
    </xf>
    <xf numFmtId="0" fontId="55" fillId="2" borderId="0" xfId="56" applyFont="1" applyFill="1" applyAlignment="1">
      <alignment vertical="center" wrapText="1"/>
    </xf>
    <xf numFmtId="180" fontId="0" fillId="0" borderId="0" xfId="0" applyNumberFormat="1">
      <alignment vertical="center"/>
    </xf>
    <xf numFmtId="168" fontId="43" fillId="0" borderId="3" xfId="68" applyFont="1" applyFill="1" applyBorder="1">
      <alignment vertical="center"/>
    </xf>
    <xf numFmtId="168" fontId="61" fillId="0" borderId="0" xfId="68" applyFont="1" applyFill="1">
      <alignment vertical="center"/>
    </xf>
    <xf numFmtId="0" fontId="55" fillId="0" borderId="0" xfId="56" applyFont="1" applyAlignment="1">
      <alignment horizontal="left" vertical="center"/>
    </xf>
    <xf numFmtId="0" fontId="10" fillId="0" borderId="0" xfId="89">
      <alignment vertical="center"/>
    </xf>
    <xf numFmtId="0" fontId="41" fillId="0" borderId="0" xfId="55" applyFont="1" applyFill="1">
      <alignment vertical="center"/>
    </xf>
    <xf numFmtId="0" fontId="30" fillId="0" borderId="0" xfId="88">
      <alignment vertical="center"/>
    </xf>
    <xf numFmtId="0" fontId="78" fillId="0" borderId="0" xfId="89" applyFont="1" applyFill="1">
      <alignment vertical="center"/>
    </xf>
    <xf numFmtId="0" fontId="7" fillId="0" borderId="0" xfId="0" applyFont="1" applyFill="1" applyAlignment="1">
      <alignment vertical="top" wrapText="1"/>
    </xf>
    <xf numFmtId="0" fontId="0" fillId="0" borderId="0" xfId="0" applyFill="1" applyAlignment="1">
      <alignment vertical="top"/>
    </xf>
    <xf numFmtId="169" fontId="75" fillId="0" borderId="0" xfId="69" applyFont="1" applyAlignment="1">
      <alignment horizontal="right" vertical="center"/>
    </xf>
    <xf numFmtId="169" fontId="78" fillId="0" borderId="0" xfId="92" applyFont="1" applyFill="1" applyAlignment="1">
      <alignment horizontal="right" vertical="center"/>
    </xf>
    <xf numFmtId="0" fontId="0" fillId="2" borderId="0" xfId="0" applyFill="1">
      <alignment vertical="center"/>
    </xf>
    <xf numFmtId="0" fontId="55" fillId="0" borderId="0" xfId="56" applyFont="1" applyAlignment="1">
      <alignment horizontal="left" vertical="center"/>
    </xf>
    <xf numFmtId="176" fontId="44" fillId="2" borderId="4" xfId="68" applyNumberFormat="1" applyFont="1" applyFill="1" applyBorder="1" applyAlignment="1">
      <alignment horizontal="right" vertical="center"/>
    </xf>
    <xf numFmtId="172" fontId="43" fillId="2" borderId="0" xfId="68" applyNumberFormat="1" applyFont="1" applyFill="1">
      <alignment vertical="center"/>
    </xf>
    <xf numFmtId="0" fontId="13" fillId="0" borderId="0" xfId="98">
      <alignment vertical="center"/>
    </xf>
    <xf numFmtId="0" fontId="82" fillId="0" borderId="0" xfId="89" applyFont="1">
      <alignment vertical="center"/>
    </xf>
    <xf numFmtId="0" fontId="37" fillId="0" borderId="0" xfId="86" applyAlignment="1">
      <alignment horizontal="left" vertical="center"/>
    </xf>
    <xf numFmtId="0" fontId="10" fillId="0" borderId="0" xfId="89" quotePrefix="1">
      <alignment vertical="center"/>
    </xf>
    <xf numFmtId="0" fontId="82" fillId="0" borderId="0" xfId="65" applyFont="1" applyAlignment="1">
      <alignment horizontal="center" vertical="center"/>
      <protection locked="0"/>
    </xf>
    <xf numFmtId="0" fontId="84" fillId="38" borderId="35" xfId="89" applyFont="1" applyFill="1" applyBorder="1" applyAlignment="1">
      <alignment horizontal="center" vertical="center" wrapText="1"/>
    </xf>
    <xf numFmtId="0" fontId="85" fillId="0" borderId="35" xfId="89" applyFont="1" applyBorder="1" applyAlignment="1">
      <alignment horizontal="center" vertical="center" wrapText="1"/>
    </xf>
    <xf numFmtId="0" fontId="85" fillId="0" borderId="36" xfId="89" applyFont="1" applyBorder="1" applyAlignment="1">
      <alignment horizontal="center" vertical="center" wrapText="1"/>
    </xf>
    <xf numFmtId="0" fontId="84" fillId="39" borderId="37" xfId="89" applyFont="1" applyFill="1" applyBorder="1" applyAlignment="1">
      <alignment horizontal="center" vertical="center" wrapText="1"/>
    </xf>
    <xf numFmtId="0" fontId="14" fillId="0" borderId="37" xfId="89" applyFont="1" applyBorder="1" applyAlignment="1">
      <alignment horizontal="center" vertical="center" wrapText="1"/>
    </xf>
    <xf numFmtId="0" fontId="14" fillId="0" borderId="38" xfId="89" applyFont="1" applyBorder="1" applyAlignment="1">
      <alignment horizontal="center" vertical="center" wrapText="1"/>
    </xf>
    <xf numFmtId="0" fontId="84" fillId="40" borderId="39" xfId="89" applyFont="1" applyFill="1" applyBorder="1" applyAlignment="1">
      <alignment horizontal="center" vertical="center" wrapText="1"/>
    </xf>
    <xf numFmtId="0" fontId="86" fillId="0" borderId="39" xfId="89" applyFont="1" applyBorder="1" applyAlignment="1">
      <alignment horizontal="center" vertical="center" wrapText="1"/>
    </xf>
    <xf numFmtId="0" fontId="86" fillId="0" borderId="40" xfId="89" applyFont="1" applyBorder="1" applyAlignment="1">
      <alignment horizontal="center" vertical="center" wrapText="1"/>
    </xf>
    <xf numFmtId="0" fontId="84" fillId="41" borderId="41" xfId="89" applyFont="1" applyFill="1" applyBorder="1" applyAlignment="1">
      <alignment horizontal="center" vertical="center" wrapText="1"/>
    </xf>
    <xf numFmtId="0" fontId="83" fillId="0" borderId="41" xfId="89" applyFont="1" applyBorder="1" applyAlignment="1">
      <alignment horizontal="center" vertical="center" wrapText="1"/>
    </xf>
    <xf numFmtId="0" fontId="83" fillId="0" borderId="42" xfId="89" applyFont="1" applyBorder="1" applyAlignment="1">
      <alignment horizontal="center" vertical="center" wrapText="1"/>
    </xf>
    <xf numFmtId="0" fontId="84" fillId="2" borderId="43" xfId="89" applyFont="1" applyFill="1" applyBorder="1" applyAlignment="1">
      <alignment horizontal="center" vertical="center" wrapText="1"/>
    </xf>
    <xf numFmtId="0" fontId="87" fillId="0" borderId="43" xfId="89" applyFont="1" applyBorder="1" applyAlignment="1">
      <alignment horizontal="center" vertical="center" wrapText="1"/>
    </xf>
    <xf numFmtId="0" fontId="87" fillId="0" borderId="10" xfId="89" applyFont="1" applyBorder="1" applyAlignment="1">
      <alignment horizontal="center" vertical="center" wrapText="1"/>
    </xf>
    <xf numFmtId="0" fontId="82" fillId="0" borderId="0" xfId="105" applyFont="1" applyAlignment="1">
      <alignment horizontal="center" vertical="center"/>
    </xf>
    <xf numFmtId="168" fontId="14" fillId="0" borderId="38" xfId="89" applyNumberFormat="1" applyFont="1" applyBorder="1" applyAlignment="1">
      <alignment horizontal="center" vertical="center" wrapText="1"/>
    </xf>
    <xf numFmtId="172" fontId="86" fillId="0" borderId="40" xfId="89" applyNumberFormat="1" applyFont="1" applyBorder="1" applyAlignment="1">
      <alignment horizontal="center" vertical="center" wrapText="1"/>
    </xf>
    <xf numFmtId="168" fontId="86" fillId="0" borderId="40" xfId="89" applyNumberFormat="1" applyFont="1" applyBorder="1" applyAlignment="1">
      <alignment horizontal="center" vertical="center" wrapText="1"/>
    </xf>
    <xf numFmtId="0" fontId="86" fillId="0" borderId="40" xfId="89" applyNumberFormat="1" applyFont="1" applyBorder="1" applyAlignment="1">
      <alignment horizontal="center" vertical="center" wrapText="1"/>
    </xf>
    <xf numFmtId="0" fontId="45" fillId="0" borderId="0" xfId="76">
      <alignment vertical="center"/>
    </xf>
    <xf numFmtId="0" fontId="88" fillId="0" borderId="1" xfId="65" applyFont="1" applyBorder="1" applyAlignment="1">
      <alignment horizontal="center" vertical="center"/>
      <protection locked="0"/>
    </xf>
    <xf numFmtId="0" fontId="0" fillId="0" borderId="0" xfId="0" applyFill="1" applyAlignment="1">
      <alignment vertical="top"/>
    </xf>
    <xf numFmtId="0" fontId="55" fillId="0" borderId="0" xfId="56" applyFont="1" applyAlignment="1">
      <alignment horizontal="center" vertical="center"/>
    </xf>
    <xf numFmtId="0" fontId="5" fillId="0" borderId="0" xfId="78" applyAlignment="1">
      <alignment horizontal="center" vertical="center"/>
    </xf>
    <xf numFmtId="0" fontId="5" fillId="0" borderId="2" xfId="77" applyBorder="1" applyAlignment="1">
      <alignment horizontal="left" vertical="center"/>
    </xf>
    <xf numFmtId="0" fontId="5" fillId="0" borderId="2" xfId="78" applyBorder="1" applyAlignment="1">
      <alignment horizontal="center" vertical="center"/>
    </xf>
    <xf numFmtId="0" fontId="5" fillId="0" borderId="2" xfId="78" applyBorder="1" applyAlignment="1">
      <alignment horizontal="left" vertical="center"/>
    </xf>
    <xf numFmtId="0" fontId="5" fillId="0" borderId="3" xfId="77" applyBorder="1" applyAlignment="1">
      <alignment horizontal="left" vertical="center"/>
    </xf>
    <xf numFmtId="0" fontId="5" fillId="0" borderId="3" xfId="78" applyBorder="1" applyAlignment="1">
      <alignment horizontal="center" vertical="center"/>
    </xf>
    <xf numFmtId="0" fontId="5" fillId="0" borderId="3" xfId="78" applyBorder="1" applyAlignment="1">
      <alignment horizontal="left" vertical="center"/>
    </xf>
    <xf numFmtId="0" fontId="45" fillId="0" borderId="0" xfId="76">
      <alignment vertical="center"/>
    </xf>
    <xf numFmtId="0" fontId="5" fillId="0" borderId="0" xfId="78" applyAlignment="1">
      <alignment horizontal="center" vertical="center"/>
    </xf>
    <xf numFmtId="0" fontId="57" fillId="0" borderId="2" xfId="53" applyFont="1" applyBorder="1" applyAlignment="1">
      <alignment horizontal="left" vertical="center"/>
    </xf>
    <xf numFmtId="0" fontId="57" fillId="0" borderId="2" xfId="53" applyFont="1" applyBorder="1" applyAlignment="1">
      <alignment horizontal="center" vertical="center"/>
    </xf>
    <xf numFmtId="172" fontId="89" fillId="0" borderId="0" xfId="79" applyNumberFormat="1" applyFont="1" applyAlignment="1">
      <alignment horizontal="center" vertical="center"/>
    </xf>
    <xf numFmtId="172" fontId="90" fillId="0" borderId="0" xfId="80" applyNumberFormat="1" applyFont="1" applyAlignment="1">
      <alignment horizontal="center" vertical="center"/>
    </xf>
    <xf numFmtId="172" fontId="50" fillId="0" borderId="0" xfId="81" applyNumberFormat="1" applyFont="1" applyAlignment="1">
      <alignment horizontal="center" vertical="center"/>
    </xf>
    <xf numFmtId="172" fontId="54" fillId="0" borderId="6" xfId="56" applyNumberFormat="1" applyFont="1" applyBorder="1" applyAlignment="1">
      <alignment horizontal="center" vertical="center"/>
    </xf>
    <xf numFmtId="0" fontId="45" fillId="0" borderId="0" xfId="76">
      <alignment vertical="center"/>
    </xf>
    <xf numFmtId="0" fontId="55" fillId="0" borderId="0" xfId="56" applyFont="1" applyAlignment="1">
      <alignment vertical="center" wrapText="1"/>
    </xf>
    <xf numFmtId="0" fontId="50" fillId="0" borderId="0" xfId="81" quotePrefix="1" applyAlignment="1">
      <alignment horizontal="right" vertical="center"/>
    </xf>
    <xf numFmtId="0" fontId="50" fillId="0" borderId="0" xfId="81">
      <alignment vertical="center"/>
    </xf>
    <xf numFmtId="0" fontId="50" fillId="0" borderId="0" xfId="82">
      <alignment vertical="center"/>
    </xf>
    <xf numFmtId="173" fontId="47" fillId="0" borderId="0" xfId="79" applyNumberFormat="1" applyAlignment="1">
      <alignment horizontal="right" vertical="center"/>
    </xf>
    <xf numFmtId="0" fontId="47" fillId="0" borderId="0" xfId="79">
      <alignment vertical="center"/>
    </xf>
    <xf numFmtId="0" fontId="49" fillId="0" borderId="0" xfId="80" applyAlignment="1">
      <alignment horizontal="right" vertical="center"/>
    </xf>
    <xf numFmtId="0" fontId="49" fillId="0" borderId="0" xfId="80">
      <alignment vertical="center"/>
    </xf>
    <xf numFmtId="0" fontId="0" fillId="0" borderId="0" xfId="0" applyFill="1" applyAlignment="1">
      <alignment vertical="top"/>
    </xf>
    <xf numFmtId="0" fontId="54" fillId="0" borderId="0" xfId="55" applyFont="1" applyFill="1" applyAlignment="1">
      <alignment vertical="top"/>
    </xf>
    <xf numFmtId="0" fontId="6" fillId="0" borderId="0" xfId="0" applyFont="1" applyFill="1" applyAlignment="1">
      <alignment vertical="top"/>
    </xf>
    <xf numFmtId="0" fontId="6" fillId="0" borderId="0" xfId="0" quotePrefix="1" applyFont="1" applyFill="1" applyAlignment="1">
      <alignment horizontal="right" vertical="top"/>
    </xf>
    <xf numFmtId="0" fontId="45" fillId="0" borderId="0" xfId="76" applyFill="1">
      <alignment vertical="center"/>
    </xf>
    <xf numFmtId="0" fontId="55" fillId="0" borderId="0" xfId="56" applyFont="1" applyFill="1">
      <alignment vertical="center"/>
    </xf>
    <xf numFmtId="0" fontId="55" fillId="0" borderId="0" xfId="56" applyFont="1" applyFill="1" applyAlignment="1">
      <alignment vertical="top" wrapText="1"/>
    </xf>
    <xf numFmtId="0" fontId="55" fillId="0" borderId="0" xfId="56" quotePrefix="1" applyFont="1" applyFill="1" applyAlignment="1">
      <alignment vertical="top"/>
    </xf>
    <xf numFmtId="0" fontId="55" fillId="0" borderId="0" xfId="56" applyFont="1" applyFill="1" applyAlignment="1">
      <alignment vertical="center" wrapText="1"/>
    </xf>
    <xf numFmtId="0" fontId="5" fillId="0" borderId="0" xfId="78" applyAlignment="1">
      <alignment horizontal="center" vertical="center"/>
    </xf>
    <xf numFmtId="0" fontId="13" fillId="0" borderId="0" xfId="98">
      <alignment vertical="center"/>
    </xf>
    <xf numFmtId="0" fontId="5" fillId="0" borderId="0" xfId="99" applyAlignment="1">
      <alignment horizontal="right" vertical="center"/>
    </xf>
    <xf numFmtId="0" fontId="5" fillId="0" borderId="0" xfId="99" applyAlignment="1">
      <alignment horizontal="left" vertical="center"/>
    </xf>
    <xf numFmtId="0" fontId="55" fillId="0" borderId="0" xfId="56" applyFont="1" applyAlignment="1">
      <alignment horizontal="left" vertical="top" wrapText="1"/>
    </xf>
    <xf numFmtId="0" fontId="5" fillId="0" borderId="0" xfId="77" applyAlignment="1">
      <alignment horizontal="center" vertical="top"/>
    </xf>
    <xf numFmtId="0" fontId="45" fillId="0" borderId="0" xfId="76" applyAlignment="1">
      <alignment horizontal="center" vertical="top"/>
    </xf>
    <xf numFmtId="0" fontId="0" fillId="42" borderId="44" xfId="0" applyFill="1" applyBorder="1">
      <alignment vertical="center"/>
    </xf>
    <xf numFmtId="0" fontId="0" fillId="42" borderId="45" xfId="0" applyFill="1" applyBorder="1">
      <alignment vertical="center"/>
    </xf>
    <xf numFmtId="0" fontId="56" fillId="0" borderId="2" xfId="54" applyFont="1" applyBorder="1" applyAlignment="1">
      <alignment horizontal="center" vertical="center"/>
    </xf>
    <xf numFmtId="0" fontId="0" fillId="2" borderId="44" xfId="0" applyFill="1" applyBorder="1">
      <alignment vertical="center"/>
    </xf>
    <xf numFmtId="0" fontId="0" fillId="2" borderId="45" xfId="0" applyFill="1" applyBorder="1">
      <alignment vertical="center"/>
    </xf>
    <xf numFmtId="0" fontId="0" fillId="3" borderId="44" xfId="0" applyFill="1" applyBorder="1">
      <alignment vertical="center"/>
    </xf>
    <xf numFmtId="0" fontId="0" fillId="3" borderId="45" xfId="0" applyFill="1" applyBorder="1">
      <alignment vertical="center"/>
    </xf>
    <xf numFmtId="0" fontId="60" fillId="0" borderId="0" xfId="55" applyFont="1" applyAlignment="1">
      <alignment horizontal="center" vertical="top"/>
    </xf>
    <xf numFmtId="0" fontId="41" fillId="0" borderId="0" xfId="55" applyFont="1" applyAlignment="1">
      <alignment horizontal="center" vertical="top"/>
    </xf>
    <xf numFmtId="0" fontId="59" fillId="0" borderId="0" xfId="55" applyFont="1" applyAlignment="1">
      <alignment horizontal="center" vertical="top"/>
    </xf>
    <xf numFmtId="0" fontId="54" fillId="0" borderId="0" xfId="55" applyFont="1" applyAlignment="1">
      <alignment horizontal="center" vertical="top"/>
    </xf>
    <xf numFmtId="0" fontId="55" fillId="0" borderId="0" xfId="56" applyFont="1" applyAlignment="1">
      <alignment horizontal="center" vertical="top"/>
    </xf>
    <xf numFmtId="0" fontId="55" fillId="0" borderId="0" xfId="56" applyFont="1" applyAlignment="1">
      <alignment horizontal="left" vertical="center"/>
    </xf>
    <xf numFmtId="0" fontId="55" fillId="0" borderId="0" xfId="56" applyFont="1" applyAlignment="1">
      <alignment horizontal="center" vertical="center"/>
    </xf>
    <xf numFmtId="172" fontId="43" fillId="2" borderId="0" xfId="68" applyNumberFormat="1" applyFont="1" applyFill="1" applyAlignment="1">
      <alignment horizontal="center" vertical="center"/>
    </xf>
    <xf numFmtId="178" fontId="43" fillId="2" borderId="0" xfId="67" applyFont="1" applyFill="1" applyAlignment="1">
      <alignment horizontal="center" vertical="center"/>
    </xf>
    <xf numFmtId="172" fontId="65" fillId="2" borderId="0" xfId="68" applyNumberFormat="1" applyFont="1" applyFill="1" applyAlignment="1">
      <alignment horizontal="center" vertical="center"/>
    </xf>
    <xf numFmtId="0" fontId="42" fillId="2" borderId="0" xfId="56" applyFont="1" applyFill="1" applyAlignment="1">
      <alignment horizontal="center" vertical="center"/>
    </xf>
    <xf numFmtId="0" fontId="63" fillId="2" borderId="0" xfId="65" applyFont="1" applyFill="1" applyAlignment="1">
      <alignment horizontal="center" vertical="center"/>
      <protection locked="0"/>
    </xf>
    <xf numFmtId="0" fontId="61" fillId="2" borderId="0" xfId="65" applyFont="1" applyFill="1" applyAlignment="1">
      <alignment horizontal="center" vertical="center"/>
      <protection locked="0"/>
    </xf>
    <xf numFmtId="172" fontId="61" fillId="0" borderId="18" xfId="61" applyNumberFormat="1" applyFont="1" applyBorder="1" applyAlignment="1">
      <alignment horizontal="center" vertical="center"/>
      <protection locked="0"/>
    </xf>
    <xf numFmtId="172" fontId="61" fillId="0" borderId="19" xfId="61" applyNumberFormat="1" applyFont="1" applyBorder="1" applyAlignment="1">
      <alignment horizontal="center" vertical="center"/>
      <protection locked="0"/>
    </xf>
    <xf numFmtId="0" fontId="61" fillId="0" borderId="18" xfId="58" applyFont="1" applyBorder="1" applyAlignment="1">
      <alignment horizontal="center" vertical="center"/>
      <protection locked="0"/>
    </xf>
    <xf numFmtId="0" fontId="61" fillId="0" borderId="19" xfId="58" applyFont="1" applyBorder="1" applyAlignment="1">
      <alignment horizontal="center" vertical="center"/>
      <protection locked="0"/>
    </xf>
    <xf numFmtId="178" fontId="61" fillId="0" borderId="18" xfId="60" applyFont="1" applyBorder="1" applyAlignment="1">
      <alignment horizontal="center" vertical="center"/>
      <protection locked="0"/>
    </xf>
    <xf numFmtId="178" fontId="61" fillId="0" borderId="19" xfId="60" applyFont="1" applyBorder="1" applyAlignment="1">
      <alignment horizontal="center" vertical="center"/>
      <protection locked="0"/>
    </xf>
    <xf numFmtId="0" fontId="45" fillId="2" borderId="0" xfId="76" applyFill="1">
      <alignment vertical="center"/>
    </xf>
    <xf numFmtId="0" fontId="55" fillId="2" borderId="0" xfId="56" applyFont="1" applyFill="1" applyAlignment="1">
      <alignment horizontal="center" vertical="center"/>
    </xf>
    <xf numFmtId="172" fontId="61" fillId="2" borderId="20" xfId="68" applyNumberFormat="1" applyFont="1" applyFill="1" applyBorder="1" applyAlignment="1">
      <alignment horizontal="center" vertical="center"/>
    </xf>
    <xf numFmtId="0" fontId="64" fillId="2" borderId="0" xfId="56" applyFont="1" applyFill="1" applyAlignment="1">
      <alignment horizontal="center" vertical="center"/>
    </xf>
    <xf numFmtId="0" fontId="55" fillId="2" borderId="0" xfId="56" applyFont="1" applyFill="1" applyAlignment="1">
      <alignment vertical="center" wrapText="1"/>
    </xf>
    <xf numFmtId="0" fontId="54" fillId="0" borderId="0" xfId="55" applyFont="1" applyBorder="1" applyAlignment="1">
      <alignment horizontal="center" vertical="center" wrapText="1"/>
    </xf>
    <xf numFmtId="0" fontId="54" fillId="0" borderId="2" xfId="55" applyFont="1" applyBorder="1" applyAlignment="1">
      <alignment horizontal="center" vertical="center" wrapText="1"/>
    </xf>
    <xf numFmtId="0" fontId="77" fillId="0" borderId="0" xfId="87" applyFont="1" applyFill="1" applyBorder="1" applyAlignment="1">
      <alignment horizontal="center" vertical="center"/>
    </xf>
    <xf numFmtId="0" fontId="77" fillId="36" borderId="26" xfId="87" applyFont="1" applyFill="1" applyBorder="1" applyAlignment="1">
      <alignment horizontal="center" vertical="center"/>
    </xf>
    <xf numFmtId="0" fontId="77" fillId="36" borderId="27" xfId="87" applyFont="1" applyFill="1" applyBorder="1" applyAlignment="1">
      <alignment horizontal="center" vertical="center"/>
    </xf>
    <xf numFmtId="0" fontId="77" fillId="36" borderId="28" xfId="87" applyFont="1" applyFill="1" applyBorder="1" applyAlignment="1">
      <alignment horizontal="center" vertical="center"/>
    </xf>
    <xf numFmtId="0" fontId="77" fillId="37" borderId="29" xfId="87" applyFont="1" applyFill="1" applyBorder="1" applyAlignment="1">
      <alignment horizontal="center" vertical="center"/>
    </xf>
    <xf numFmtId="0" fontId="77" fillId="37" borderId="30" xfId="87" applyFont="1" applyFill="1" applyBorder="1" applyAlignment="1">
      <alignment horizontal="center" vertical="center"/>
    </xf>
    <xf numFmtId="0" fontId="77" fillId="37" borderId="31" xfId="87" applyFont="1" applyFill="1" applyBorder="1" applyAlignment="1">
      <alignment horizontal="center" vertical="center"/>
    </xf>
    <xf numFmtId="0" fontId="77" fillId="35" borderId="23" xfId="87" applyFont="1" applyFill="1" applyBorder="1" applyAlignment="1">
      <alignment horizontal="center" vertical="center"/>
    </xf>
    <xf numFmtId="0" fontId="77" fillId="35" borderId="24" xfId="87" applyFont="1" applyFill="1" applyBorder="1" applyAlignment="1">
      <alignment horizontal="center" vertical="center"/>
    </xf>
    <xf numFmtId="0" fontId="77" fillId="35" borderId="25" xfId="87" applyFont="1" applyFill="1" applyBorder="1" applyAlignment="1">
      <alignment horizontal="center" vertical="center"/>
    </xf>
  </cellXfs>
  <cellStyles count="106">
    <cellStyle name="20% - Accent1" xfId="27" builtinId="30" hidden="1"/>
    <cellStyle name="20% - Accent2" xfId="31" builtinId="34" hidden="1"/>
    <cellStyle name="20% - Accent3" xfId="35" builtinId="38" hidden="1"/>
    <cellStyle name="20% - Accent4" xfId="39" builtinId="42" hidden="1"/>
    <cellStyle name="20% - Accent5" xfId="43" builtinId="46" hidden="1"/>
    <cellStyle name="20% - Accent6" xfId="47" builtinId="50" hidden="1"/>
    <cellStyle name="40% - Accent1" xfId="28" builtinId="31" hidden="1"/>
    <cellStyle name="40% - Accent2" xfId="32" builtinId="35" hidden="1"/>
    <cellStyle name="40% - Accent3" xfId="36" builtinId="39" hidden="1"/>
    <cellStyle name="40% - Accent4" xfId="40" builtinId="43" hidden="1"/>
    <cellStyle name="40% - Accent5" xfId="44" builtinId="47" hidden="1"/>
    <cellStyle name="40% - Accent6" xfId="48" builtinId="51" hidden="1"/>
    <cellStyle name="60% - Accent1" xfId="29" builtinId="32" hidden="1"/>
    <cellStyle name="60% - Accent2" xfId="33" builtinId="36" hidden="1"/>
    <cellStyle name="60% - Accent3" xfId="37" builtinId="40" hidden="1"/>
    <cellStyle name="60% - Accent4" xfId="41" builtinId="44" hidden="1"/>
    <cellStyle name="60% - Accent5" xfId="45" builtinId="48" hidden="1"/>
    <cellStyle name="60% - Accent6" xfId="49" builtinId="52" hidden="1"/>
    <cellStyle name="Accent1" xfId="26" builtinId="29" hidden="1"/>
    <cellStyle name="Accent2" xfId="30" builtinId="33" hidden="1"/>
    <cellStyle name="Accent3" xfId="34" builtinId="37" hidden="1"/>
    <cellStyle name="Accent4" xfId="38" builtinId="41" hidden="1"/>
    <cellStyle name="Accent5" xfId="42" builtinId="45" hidden="1"/>
    <cellStyle name="Accent6" xfId="46" builtinId="49" hidden="1"/>
    <cellStyle name="Assumption Currency." xfId="64"/>
    <cellStyle name="Assumption Date." xfId="60"/>
    <cellStyle name="Assumption Heading." xfId="58"/>
    <cellStyle name="Assumption Multiple." xfId="63"/>
    <cellStyle name="Assumption Number." xfId="61"/>
    <cellStyle name="Assumption Percentage." xfId="62"/>
    <cellStyle name="Assumption Year." xfId="59"/>
    <cellStyle name="Bad" xfId="15" builtinId="27" hidden="1"/>
    <cellStyle name="Calculation" xfId="19" builtinId="22" hidden="1"/>
    <cellStyle name="Cell Link." xfId="65"/>
    <cellStyle name="Check Cell" xfId="21" builtinId="23" hidden="1"/>
    <cellStyle name="Comma" xfId="2" builtinId="3" hidden="1"/>
    <cellStyle name="Comma [0]" xfId="3" builtinId="6" hidden="1"/>
    <cellStyle name="Currency" xfId="4" builtinId="4" hidden="1"/>
    <cellStyle name="Currency [0]" xfId="5" builtinId="7" hidden="1"/>
    <cellStyle name="Currency." xfId="71"/>
    <cellStyle name="Date." xfId="67"/>
    <cellStyle name="Explanatory Text" xfId="24" builtinId="53" hidden="1"/>
    <cellStyle name="Followed Hyperlink" xfId="6" builtinId="9" hidden="1"/>
    <cellStyle name="Good" xfId="14" builtinId="26" hidden="1"/>
    <cellStyle name="Heading 1" xfId="7" builtinId="16" hidden="1" customBuiltin="1"/>
    <cellStyle name="Heading 1." xfId="53"/>
    <cellStyle name="Heading 2" xfId="8" builtinId="17" hidden="1" customBuiltin="1"/>
    <cellStyle name="Heading 2." xfId="54"/>
    <cellStyle name="Heading 3" xfId="9" builtinId="18" hidden="1" customBuiltin="1"/>
    <cellStyle name="Heading 3." xfId="55"/>
    <cellStyle name="Heading 4" xfId="10" builtinId="19" hidden="1" customBuiltin="1"/>
    <cellStyle name="Heading 4." xfId="56"/>
    <cellStyle name="Hyperlink" xfId="11" builtinId="8" hidden="1"/>
    <cellStyle name="Hyperlink" xfId="1" builtinId="8"/>
    <cellStyle name="Hyperlink Arrow." xfId="77"/>
    <cellStyle name="Hyperlink Check." xfId="78"/>
    <cellStyle name="Hyperlink Text." xfId="76"/>
    <cellStyle name="Hyperlink TOC 1." xfId="79"/>
    <cellStyle name="Hyperlink TOC 2." xfId="80"/>
    <cellStyle name="Hyperlink TOC 3." xfId="81"/>
    <cellStyle name="Hyperlink TOC 4." xfId="82"/>
    <cellStyle name="Input" xfId="17" builtinId="20" hidden="1"/>
    <cellStyle name="Linked Cell" xfId="20" builtinId="24" hidden="1"/>
    <cellStyle name="Lookup Table Heading." xfId="73"/>
    <cellStyle name="Lookup Table Label." xfId="75"/>
    <cellStyle name="Lookup Table Number." xfId="74"/>
    <cellStyle name="Model Name." xfId="52"/>
    <cellStyle name="Multiple." xfId="70"/>
    <cellStyle name="Neutral" xfId="16" builtinId="28" hidden="1"/>
    <cellStyle name="Normal" xfId="0" builtinId="0" customBuiltin="1"/>
    <cellStyle name="Note" xfId="23" builtinId="10" hidden="1"/>
    <cellStyle name="Number." xfId="68"/>
    <cellStyle name="Output" xfId="18" builtinId="21" hidden="1"/>
    <cellStyle name="Percent" xfId="12" builtinId="5" hidden="1"/>
    <cellStyle name="Percentage." xfId="69"/>
    <cellStyle name="Period Title." xfId="72"/>
    <cellStyle name="Presentation Currency." xfId="94"/>
    <cellStyle name="Presentation Date." xfId="96"/>
    <cellStyle name="Presentation Heading 1." xfId="86"/>
    <cellStyle name="Presentation Heading 2." xfId="87"/>
    <cellStyle name="Presentation Heading 3." xfId="88"/>
    <cellStyle name="Presentation Heading 4." xfId="89"/>
    <cellStyle name="Presentation Hyperlink Arrow." xfId="99"/>
    <cellStyle name="Presentation Hyperlink Check." xfId="100"/>
    <cellStyle name="Presentation Hyperlink Text." xfId="98"/>
    <cellStyle name="Presentation Model Name." xfId="85"/>
    <cellStyle name="Presentation Multiple." xfId="93"/>
    <cellStyle name="Presentation Normal." xfId="105"/>
    <cellStyle name="Presentation Number." xfId="91"/>
    <cellStyle name="Presentation Percentage." xfId="92"/>
    <cellStyle name="Presentation Period Title." xfId="97"/>
    <cellStyle name="Presentation Section Number." xfId="84"/>
    <cellStyle name="Presentation Sheet Title." xfId="83"/>
    <cellStyle name="Presentation Sub Total." xfId="90"/>
    <cellStyle name="Presentation TOC 1." xfId="101"/>
    <cellStyle name="Presentation TOC 2." xfId="102"/>
    <cellStyle name="Presentation TOC 3." xfId="103"/>
    <cellStyle name="Presentation TOC 4." xfId="104"/>
    <cellStyle name="Presentation Year." xfId="95"/>
    <cellStyle name="Section Number." xfId="51"/>
    <cellStyle name="Sheet Title." xfId="50"/>
    <cellStyle name="Sub Total." xfId="57"/>
    <cellStyle name="Title" xfId="13" builtinId="15" hidden="1"/>
    <cellStyle name="Total" xfId="25" builtinId="25" hidden="1"/>
    <cellStyle name="Warning Text" xfId="22" builtinId="11" hidden="1"/>
    <cellStyle name="Year." xfId="66"/>
  </cellStyles>
  <dxfs count="98">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val="0"/>
        <color indexed="58"/>
      </font>
    </dxf>
    <dxf>
      <font>
        <b/>
        <i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i val="0"/>
        <color indexed="58"/>
      </font>
    </dxf>
    <dxf>
      <font>
        <b/>
        <i val="0"/>
        <color indexed="58"/>
      </font>
    </dxf>
    <dxf>
      <font>
        <b/>
        <i val="0"/>
        <color indexed="58"/>
      </font>
    </dxf>
    <dxf>
      <font>
        <b/>
        <i val="0"/>
        <condense val="0"/>
        <extend val="0"/>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val="0"/>
        <i val="0"/>
        <strike val="0"/>
        <condense val="0"/>
        <extend val="0"/>
        <color indexed="63"/>
      </font>
      <fill>
        <patternFill patternType="solid">
          <bgColor indexed="18"/>
        </patternFill>
      </fill>
    </dxf>
    <dxf>
      <font>
        <b val="0"/>
        <i val="0"/>
        <strike val="0"/>
        <condense val="0"/>
        <extend val="0"/>
        <color indexed="63"/>
      </font>
      <fill>
        <patternFill patternType="solid">
          <bgColor indexed="18"/>
        </patternFill>
      </fill>
    </dxf>
    <dxf>
      <font>
        <b/>
        <i val="0"/>
        <condense val="0"/>
        <extend val="0"/>
      </font>
    </dxf>
    <dxf>
      <font>
        <b/>
        <i val="0"/>
        <color indexed="58"/>
      </font>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color indexed="18"/>
      </font>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9"/>
      </font>
      <fill>
        <patternFill>
          <bgColor indexed="18"/>
        </patternFill>
      </fill>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9"/>
      </font>
      <fill>
        <patternFill>
          <bgColor indexed="18"/>
        </patternFill>
      </fill>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9"/>
      </font>
      <fill>
        <patternFill>
          <bgColor indexed="18"/>
        </patternFill>
      </fill>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9"/>
      </font>
      <fill>
        <patternFill>
          <bgColor indexed="18"/>
        </patternFill>
      </fill>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9"/>
      </font>
      <fill>
        <patternFill>
          <bgColor indexed="18"/>
        </patternFill>
      </fill>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9"/>
      </font>
      <fill>
        <patternFill>
          <bgColor indexed="18"/>
        </patternFill>
      </fill>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9"/>
      </font>
      <fill>
        <patternFill>
          <bgColor indexed="18"/>
        </patternFill>
      </fill>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9"/>
      </font>
      <fill>
        <patternFill>
          <bgColor indexed="18"/>
        </patternFill>
      </fill>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9"/>
      </font>
      <fill>
        <patternFill>
          <bgColor indexed="18"/>
        </patternFill>
      </fill>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9"/>
      </font>
      <fill>
        <patternFill>
          <bgColor indexed="18"/>
        </patternFill>
      </fill>
      <border>
        <left style="thin">
          <color indexed="18"/>
        </left>
        <right style="thin">
          <color indexed="18"/>
        </right>
        <top style="thin">
          <color indexed="18"/>
        </top>
        <bottom style="thin">
          <color indexed="18"/>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C0C0C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993366"/>
      <rgbColor rgb="00339966"/>
      <rgbColor rgb="00CB2840"/>
      <rgbColor rgb="00007767"/>
      <rgbColor rgb="000069B3"/>
      <rgbColor rgb="00993366"/>
      <rgbColor rgb="00FFFF78"/>
      <rgbColor rgb="00FFFFFF"/>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BS_Sum_P_MS!$AU$11</c:f>
          <c:strCache>
            <c:ptCount val="1"/>
            <c:pt idx="0">
              <c:v>Revenue</c:v>
            </c:pt>
          </c:strCache>
        </c:strRef>
      </c:tx>
      <c:txPr>
        <a:bodyPr/>
        <a:lstStyle/>
        <a:p>
          <a:pPr>
            <a:defRPr sz="900"/>
          </a:pPr>
          <a:endParaRPr lang="en-US"/>
        </a:p>
      </c:txPr>
    </c:title>
    <c:plotArea>
      <c:layout>
        <c:manualLayout>
          <c:layoutTarget val="inner"/>
          <c:xMode val="edge"/>
          <c:yMode val="edge"/>
          <c:x val="0.12844793982062919"/>
          <c:y val="0.25496860643532054"/>
          <c:w val="0.83326464712119364"/>
          <c:h val="0.54123361826528682"/>
        </c:manualLayout>
      </c:layout>
      <c:barChart>
        <c:barDir val="col"/>
        <c:grouping val="stacked"/>
        <c:ser>
          <c:idx val="0"/>
          <c:order val="0"/>
          <c:tx>
            <c:strRef>
              <c:f>BS_Sum_P_MS!$AQ$13</c:f>
              <c:strCache>
                <c:ptCount val="1"/>
                <c:pt idx="0">
                  <c:v>Revenue</c:v>
                </c:pt>
              </c:strCache>
            </c:strRef>
          </c:tx>
          <c:spPr>
            <a:solidFill>
              <a:srgbClr val="4F81BD"/>
            </a:solidFill>
            <a:ln>
              <a:solidFill>
                <a:schemeClr val="accent1"/>
              </a:solidFill>
            </a:ln>
          </c:spPr>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BS_Sum_P_MS!$AX$13:$BE$13</c:f>
              <c:numCache>
                <c:formatCode>_(#,##0_);\(#,##0\);_("-"_)</c:formatCode>
                <c:ptCount val="8"/>
                <c:pt idx="0">
                  <c:v>125</c:v>
                </c:pt>
                <c:pt idx="1">
                  <c:v>128.125</c:v>
                </c:pt>
                <c:pt idx="2">
                  <c:v>131.328125</c:v>
                </c:pt>
                <c:pt idx="3">
                  <c:v>134.611328125</c:v>
                </c:pt>
                <c:pt idx="4">
                  <c:v>137.97661132812499</c:v>
                </c:pt>
                <c:pt idx="5">
                  <c:v>141.4260266113281</c:v>
                </c:pt>
                <c:pt idx="6">
                  <c:v>144.96167727661128</c:v>
                </c:pt>
                <c:pt idx="7">
                  <c:v>148.58571920852654</c:v>
                </c:pt>
              </c:numCache>
            </c:numRef>
          </c:val>
        </c:ser>
        <c:overlap val="100"/>
        <c:axId val="294923648"/>
        <c:axId val="294958208"/>
      </c:barChart>
      <c:catAx>
        <c:axId val="294923648"/>
        <c:scaling>
          <c:orientation val="minMax"/>
        </c:scaling>
        <c:axPos val="b"/>
        <c:tickLblPos val="nextTo"/>
        <c:crossAx val="294958208"/>
        <c:crosses val="autoZero"/>
        <c:auto val="1"/>
        <c:lblAlgn val="ctr"/>
        <c:lblOffset val="100"/>
      </c:catAx>
      <c:valAx>
        <c:axId val="294958208"/>
        <c:scaling>
          <c:orientation val="minMax"/>
        </c:scaling>
        <c:axPos val="l"/>
        <c:numFmt formatCode="_(#,##0_);\(#,##0\);_(&quot;-&quot;_)" sourceLinked="1"/>
        <c:tickLblPos val="nextTo"/>
        <c:crossAx val="294923648"/>
        <c:crosses val="autoZero"/>
        <c:crossBetween val="between"/>
      </c:valAx>
    </c:plotArea>
    <c:legend>
      <c:legendPos val="t"/>
      <c:layout>
        <c:manualLayout>
          <c:xMode val="edge"/>
          <c:yMode val="edge"/>
          <c:x val="0.29065392188222272"/>
          <c:y val="0.12310185185185238"/>
          <c:w val="0.41520106770631565"/>
          <c:h val="0.1266582434507025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89" l="0.70000000000000062" r="0.70000000000000062" t="0.750000000000003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BS_Sum_P_MS!$AU$38</c:f>
          <c:strCache>
            <c:ptCount val="1"/>
            <c:pt idx="0">
              <c:v>Operating Expenditure - Committed vs. Discretionary - 2010 (F) </c:v>
            </c:pt>
          </c:strCache>
        </c:strRef>
      </c:tx>
      <c:txPr>
        <a:bodyPr/>
        <a:lstStyle/>
        <a:p>
          <a:pPr>
            <a:defRPr sz="900"/>
          </a:pPr>
          <a:endParaRPr lang="en-US"/>
        </a:p>
      </c:txPr>
    </c:title>
    <c:view3D>
      <c:rotX val="30"/>
      <c:perspective val="30"/>
    </c:view3D>
    <c:plotArea>
      <c:layout/>
      <c:pie3DChart>
        <c:varyColors val="1"/>
        <c:ser>
          <c:idx val="0"/>
          <c:order val="0"/>
          <c:spPr>
            <a:solidFill>
              <a:srgbClr val="9BBB59"/>
            </a:solidFill>
          </c:spPr>
          <c:dPt>
            <c:idx val="1"/>
            <c:spPr>
              <a:solidFill>
                <a:srgbClr val="9BBB59">
                  <a:alpha val="50000"/>
                </a:srgbClr>
              </a:solidFill>
              <a:ln>
                <a:solidFill>
                  <a:schemeClr val="accent3"/>
                </a:solidFill>
              </a:ln>
            </c:spPr>
          </c:dPt>
          <c:cat>
            <c:strRef>
              <c:f>BS_Sum_P_MS!$AQ$42:$AQ$43</c:f>
              <c:strCache>
                <c:ptCount val="2"/>
                <c:pt idx="0">
                  <c:v>Committed</c:v>
                </c:pt>
                <c:pt idx="1">
                  <c:v>Discretionary</c:v>
                </c:pt>
              </c:strCache>
            </c:strRef>
          </c:cat>
          <c:val>
            <c:numRef>
              <c:f>BS_Sum_P_MS!$AX$42:$AX$43</c:f>
              <c:numCache>
                <c:formatCode>_(#,##0.0_);\(#,##0.0\);_("-"_)</c:formatCode>
                <c:ptCount val="2"/>
                <c:pt idx="0">
                  <c:v>19</c:v>
                </c:pt>
                <c:pt idx="1">
                  <c:v>21</c:v>
                </c:pt>
              </c:numCache>
            </c:numRef>
          </c:val>
        </c:ser>
        <c:dLbls>
          <c:showCatName val="1"/>
          <c:showPercent val="1"/>
        </c:dLbls>
      </c:pie3DChart>
    </c:plotArea>
    <c:plotVisOnly val="1"/>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33" l="0.70000000000000062" r="0.70000000000000062" t="0.750000000000003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BS_Sum_P_MS!$AU$47</c:f>
          <c:strCache>
            <c:ptCount val="1"/>
            <c:pt idx="0">
              <c:v>Net Assets - 2010 (F) </c:v>
            </c:pt>
          </c:strCache>
        </c:strRef>
      </c:tx>
      <c:txPr>
        <a:bodyPr/>
        <a:lstStyle/>
        <a:p>
          <a:pPr>
            <a:defRPr sz="900"/>
          </a:pPr>
          <a:endParaRPr lang="en-US"/>
        </a:p>
      </c:txPr>
    </c:title>
    <c:plotArea>
      <c:layout/>
      <c:barChart>
        <c:barDir val="col"/>
        <c:grouping val="stacked"/>
        <c:ser>
          <c:idx val="0"/>
          <c:order val="0"/>
          <c:dPt>
            <c:idx val="1"/>
            <c:spPr>
              <a:noFill/>
            </c:spPr>
          </c:dPt>
          <c:cat>
            <c:strRef>
              <c:f>BS_Sum_P_MS!$AQ$53:$AQ$55</c:f>
              <c:strCache>
                <c:ptCount val="3"/>
                <c:pt idx="0">
                  <c:v>Assets</c:v>
                </c:pt>
                <c:pt idx="1">
                  <c:v>Liabilities</c:v>
                </c:pt>
                <c:pt idx="2">
                  <c:v>Net Assets</c:v>
                </c:pt>
              </c:strCache>
            </c:strRef>
          </c:cat>
          <c:val>
            <c:numRef>
              <c:f>BS_Sum_P_MS!$AZ$53:$AZ$55</c:f>
              <c:numCache>
                <c:formatCode>_(#,##0.0_);\(#,##0.0\);_("-"_)</c:formatCode>
                <c:ptCount val="3"/>
                <c:pt idx="0">
                  <c:v>0</c:v>
                </c:pt>
                <c:pt idx="1">
                  <c:v>135.91875000000002</c:v>
                </c:pt>
                <c:pt idx="2">
                  <c:v>0</c:v>
                </c:pt>
              </c:numCache>
            </c:numRef>
          </c:val>
        </c:ser>
        <c:ser>
          <c:idx val="1"/>
          <c:order val="1"/>
          <c:spPr>
            <a:effectLst>
              <a:outerShdw blurRad="50800" dist="38100" dir="2700000" algn="tl" rotWithShape="0">
                <a:prstClr val="black">
                  <a:alpha val="40000"/>
                </a:prstClr>
              </a:outerShdw>
            </a:effectLst>
          </c:spPr>
          <c:dPt>
            <c:idx val="0"/>
            <c:spPr>
              <a:solidFill>
                <a:schemeClr val="accent1"/>
              </a:solidFill>
              <a:effectLst>
                <a:outerShdw blurRad="50800" dist="38100" dir="2700000" algn="tl" rotWithShape="0">
                  <a:prstClr val="black">
                    <a:alpha val="40000"/>
                  </a:prstClr>
                </a:outerShdw>
              </a:effectLst>
            </c:spPr>
          </c:dPt>
          <c:dPt>
            <c:idx val="1"/>
            <c:spPr>
              <a:solidFill>
                <a:schemeClr val="accent2"/>
              </a:solidFill>
              <a:effectLst>
                <a:outerShdw blurRad="50800" dist="38100" dir="2700000" algn="tl" rotWithShape="0">
                  <a:prstClr val="black">
                    <a:alpha val="40000"/>
                  </a:prstClr>
                </a:outerShdw>
              </a:effectLst>
            </c:spPr>
          </c:dPt>
          <c:dPt>
            <c:idx val="2"/>
            <c:spPr>
              <a:solidFill>
                <a:schemeClr val="accent3"/>
              </a:solidFill>
              <a:effectLst>
                <a:outerShdw blurRad="50800" dist="38100" dir="2700000" algn="tl" rotWithShape="0">
                  <a:prstClr val="black">
                    <a:alpha val="40000"/>
                  </a:prstClr>
                </a:outerShdw>
              </a:effectLst>
            </c:spPr>
          </c:dPt>
          <c:dLbls>
            <c:txPr>
              <a:bodyPr/>
              <a:lstStyle/>
              <a:p>
                <a:pPr>
                  <a:defRPr>
                    <a:solidFill>
                      <a:schemeClr val="bg1"/>
                    </a:solidFill>
                  </a:defRPr>
                </a:pPr>
                <a:endParaRPr lang="en-US"/>
              </a:p>
            </c:txPr>
            <c:showVal val="1"/>
          </c:dLbls>
          <c:cat>
            <c:strRef>
              <c:f>BS_Sum_P_MS!$AQ$53:$AQ$55</c:f>
              <c:strCache>
                <c:ptCount val="3"/>
                <c:pt idx="0">
                  <c:v>Assets</c:v>
                </c:pt>
                <c:pt idx="1">
                  <c:v>Liabilities</c:v>
                </c:pt>
                <c:pt idx="2">
                  <c:v>Net Assets</c:v>
                </c:pt>
              </c:strCache>
            </c:strRef>
          </c:cat>
          <c:val>
            <c:numRef>
              <c:f>BS_Sum_P_MS!$BA$53:$BA$55</c:f>
              <c:numCache>
                <c:formatCode>_(#,##0.0_);\(#,##0.0\);_("-"_)</c:formatCode>
                <c:ptCount val="3"/>
                <c:pt idx="0">
                  <c:v>216.719948630137</c:v>
                </c:pt>
                <c:pt idx="1">
                  <c:v>80.80119863013698</c:v>
                </c:pt>
                <c:pt idx="2">
                  <c:v>135.91875000000002</c:v>
                </c:pt>
              </c:numCache>
            </c:numRef>
          </c:val>
        </c:ser>
        <c:gapWidth val="25"/>
        <c:overlap val="100"/>
        <c:axId val="295015936"/>
        <c:axId val="295017472"/>
      </c:barChart>
      <c:catAx>
        <c:axId val="295015936"/>
        <c:scaling>
          <c:orientation val="minMax"/>
        </c:scaling>
        <c:axPos val="b"/>
        <c:tickLblPos val="nextTo"/>
        <c:crossAx val="295017472"/>
        <c:crosses val="autoZero"/>
        <c:auto val="1"/>
        <c:lblAlgn val="ctr"/>
        <c:lblOffset val="100"/>
      </c:catAx>
      <c:valAx>
        <c:axId val="295017472"/>
        <c:scaling>
          <c:orientation val="minMax"/>
        </c:scaling>
        <c:axPos val="l"/>
        <c:numFmt formatCode="_(#,##0.0_);\(#,##0.0\);_(&quot;-&quot;_)" sourceLinked="1"/>
        <c:tickLblPos val="nextTo"/>
        <c:crossAx val="295015936"/>
        <c:crosses val="autoZero"/>
        <c:crossBetween val="between"/>
      </c:valAx>
    </c:plotArea>
    <c:plotVisOnly val="1"/>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33" l="0.70000000000000062" r="0.70000000000000062" t="0.750000000000003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BS_Sum_P_MS!$AU$29</c:f>
          <c:strCache>
            <c:ptCount val="1"/>
            <c:pt idx="0">
              <c:v>EBITDA Breakdown</c:v>
            </c:pt>
          </c:strCache>
        </c:strRef>
      </c:tx>
      <c:txPr>
        <a:bodyPr/>
        <a:lstStyle/>
        <a:p>
          <a:pPr>
            <a:defRPr sz="900"/>
          </a:pPr>
          <a:endParaRPr lang="en-US"/>
        </a:p>
      </c:txPr>
    </c:title>
    <c:plotArea>
      <c:layout>
        <c:manualLayout>
          <c:layoutTarget val="inner"/>
          <c:xMode val="edge"/>
          <c:yMode val="edge"/>
          <c:x val="0.12544252863340766"/>
          <c:y val="0.28469234232750196"/>
          <c:w val="0.83627005830841739"/>
          <c:h val="0.52574923950406116"/>
        </c:manualLayout>
      </c:layout>
      <c:barChart>
        <c:barDir val="col"/>
        <c:grouping val="stacked"/>
        <c:ser>
          <c:idx val="0"/>
          <c:order val="0"/>
          <c:tx>
            <c:strRef>
              <c:f>BS_Sum_P_MS!$AQ$31</c:f>
              <c:strCache>
                <c:ptCount val="1"/>
                <c:pt idx="0">
                  <c:v>Revenue</c:v>
                </c:pt>
              </c:strCache>
            </c:strRef>
          </c:tx>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BS_Sum_P_MS!$AX$31:$BE$31</c:f>
              <c:numCache>
                <c:formatCode>_(#,##0_);\(#,##0\);_("-"_)</c:formatCode>
                <c:ptCount val="8"/>
                <c:pt idx="0">
                  <c:v>125</c:v>
                </c:pt>
                <c:pt idx="1">
                  <c:v>128.125</c:v>
                </c:pt>
                <c:pt idx="2">
                  <c:v>131.328125</c:v>
                </c:pt>
                <c:pt idx="3">
                  <c:v>134.611328125</c:v>
                </c:pt>
                <c:pt idx="4">
                  <c:v>137.97661132812499</c:v>
                </c:pt>
                <c:pt idx="5">
                  <c:v>141.4260266113281</c:v>
                </c:pt>
                <c:pt idx="6">
                  <c:v>144.96167727661128</c:v>
                </c:pt>
                <c:pt idx="7">
                  <c:v>148.58571920852654</c:v>
                </c:pt>
              </c:numCache>
            </c:numRef>
          </c:val>
        </c:ser>
        <c:ser>
          <c:idx val="1"/>
          <c:order val="1"/>
          <c:tx>
            <c:strRef>
              <c:f>BS_Sum_P_MS!$AQ$32</c:f>
              <c:strCache>
                <c:ptCount val="1"/>
                <c:pt idx="0">
                  <c:v>Cost of Goods Sold</c:v>
                </c:pt>
              </c:strCache>
            </c:strRef>
          </c:tx>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BS_Sum_P_MS!$AX$32:$BE$32</c:f>
              <c:numCache>
                <c:formatCode>_(#,##0_);\(#,##0\);_("-"_)</c:formatCode>
                <c:ptCount val="8"/>
                <c:pt idx="0">
                  <c:v>-25</c:v>
                </c:pt>
                <c:pt idx="1">
                  <c:v>-25.624999999999996</c:v>
                </c:pt>
                <c:pt idx="2">
                  <c:v>-26.265624999999993</c:v>
                </c:pt>
                <c:pt idx="3">
                  <c:v>-26.922265624999991</c:v>
                </c:pt>
                <c:pt idx="4">
                  <c:v>-27.59532226562499</c:v>
                </c:pt>
                <c:pt idx="5">
                  <c:v>-28.285205322265611</c:v>
                </c:pt>
                <c:pt idx="6">
                  <c:v>-28.992335455322248</c:v>
                </c:pt>
                <c:pt idx="7">
                  <c:v>-29.717143841705301</c:v>
                </c:pt>
              </c:numCache>
            </c:numRef>
          </c:val>
        </c:ser>
        <c:ser>
          <c:idx val="2"/>
          <c:order val="2"/>
          <c:tx>
            <c:strRef>
              <c:f>BS_Sum_P_MS!$AQ$33</c:f>
              <c:strCache>
                <c:ptCount val="1"/>
                <c:pt idx="0">
                  <c:v>Operating Expenditure</c:v>
                </c:pt>
              </c:strCache>
            </c:strRef>
          </c:tx>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BS_Sum_P_MS!$AX$33:$BE$33</c:f>
              <c:numCache>
                <c:formatCode>_(#,##0_);\(#,##0\);_("-"_)</c:formatCode>
                <c:ptCount val="8"/>
                <c:pt idx="0">
                  <c:v>-40</c:v>
                </c:pt>
                <c:pt idx="1">
                  <c:v>-41</c:v>
                </c:pt>
                <c:pt idx="2">
                  <c:v>-42.024999999999999</c:v>
                </c:pt>
                <c:pt idx="3">
                  <c:v>-43.075624999999995</c:v>
                </c:pt>
                <c:pt idx="4">
                  <c:v>-44.152515624999992</c:v>
                </c:pt>
                <c:pt idx="5">
                  <c:v>-45.256328515624986</c:v>
                </c:pt>
                <c:pt idx="6">
                  <c:v>-46.387736728515605</c:v>
                </c:pt>
                <c:pt idx="7">
                  <c:v>-47.547430146728495</c:v>
                </c:pt>
              </c:numCache>
            </c:numRef>
          </c:val>
        </c:ser>
        <c:overlap val="100"/>
        <c:axId val="295068800"/>
        <c:axId val="295070336"/>
      </c:barChart>
      <c:lineChart>
        <c:grouping val="standard"/>
        <c:ser>
          <c:idx val="6"/>
          <c:order val="3"/>
          <c:tx>
            <c:strRef>
              <c:f>BS_Sum_P_MS!$AQ$34</c:f>
              <c:strCache>
                <c:ptCount val="1"/>
                <c:pt idx="0">
                  <c:v>EBITDA</c:v>
                </c:pt>
              </c:strCache>
            </c:strRef>
          </c:tx>
          <c:spPr>
            <a:ln w="19050"/>
          </c:spPr>
          <c:marker>
            <c:symbol val="diamond"/>
            <c:size val="5"/>
          </c:marker>
          <c:val>
            <c:numRef>
              <c:f>BS_Sum_P_MS!$AX$34:$BE$34</c:f>
              <c:numCache>
                <c:formatCode>_(#,##0_);\(#,##0\);_("-"_)</c:formatCode>
                <c:ptCount val="8"/>
                <c:pt idx="0">
                  <c:v>60</c:v>
                </c:pt>
                <c:pt idx="1">
                  <c:v>61.5</c:v>
                </c:pt>
                <c:pt idx="2">
                  <c:v>63.037500000000001</c:v>
                </c:pt>
                <c:pt idx="3">
                  <c:v>64.613437500000003</c:v>
                </c:pt>
                <c:pt idx="4">
                  <c:v>66.22877343750001</c:v>
                </c:pt>
                <c:pt idx="5">
                  <c:v>67.884492773437501</c:v>
                </c:pt>
                <c:pt idx="6">
                  <c:v>69.58160509277343</c:v>
                </c:pt>
                <c:pt idx="7">
                  <c:v>71.321145220092745</c:v>
                </c:pt>
              </c:numCache>
            </c:numRef>
          </c:val>
        </c:ser>
        <c:marker val="1"/>
        <c:axId val="295068800"/>
        <c:axId val="295070336"/>
      </c:lineChart>
      <c:catAx>
        <c:axId val="295068800"/>
        <c:scaling>
          <c:orientation val="minMax"/>
        </c:scaling>
        <c:axPos val="b"/>
        <c:tickLblPos val="low"/>
        <c:crossAx val="295070336"/>
        <c:crosses val="autoZero"/>
        <c:auto val="1"/>
        <c:lblAlgn val="ctr"/>
        <c:lblOffset val="100"/>
      </c:catAx>
      <c:valAx>
        <c:axId val="295070336"/>
        <c:scaling>
          <c:orientation val="minMax"/>
        </c:scaling>
        <c:axPos val="l"/>
        <c:numFmt formatCode="_(#,##0_);\(#,##0\);_(&quot;-&quot;_)" sourceLinked="1"/>
        <c:tickLblPos val="nextTo"/>
        <c:crossAx val="295068800"/>
        <c:crosses val="autoZero"/>
        <c:crossBetween val="between"/>
      </c:valAx>
    </c:plotArea>
    <c:legend>
      <c:legendPos val="t"/>
      <c:layout>
        <c:manualLayout>
          <c:xMode val="edge"/>
          <c:yMode val="edge"/>
          <c:x val="0.10304559789714637"/>
          <c:y val="0.12310185185185243"/>
          <c:w val="0.83569454120976772"/>
          <c:h val="0.13863626879276142"/>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89" l="0.70000000000000062" r="0.70000000000000062" t="0.75000000000000389"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BS_Sum_P_MS!$AU$17</c:f>
          <c:strCache>
            <c:ptCount val="1"/>
            <c:pt idx="0">
              <c:v>Cost of Goods Sold</c:v>
            </c:pt>
          </c:strCache>
        </c:strRef>
      </c:tx>
      <c:txPr>
        <a:bodyPr/>
        <a:lstStyle/>
        <a:p>
          <a:pPr>
            <a:defRPr sz="900"/>
          </a:pPr>
          <a:endParaRPr lang="en-US"/>
        </a:p>
      </c:txPr>
    </c:title>
    <c:plotArea>
      <c:layout>
        <c:manualLayout>
          <c:layoutTarget val="inner"/>
          <c:xMode val="edge"/>
          <c:yMode val="edge"/>
          <c:x val="0.11313297459735661"/>
          <c:y val="0.27588255418585944"/>
          <c:w val="0.84857961234447055"/>
          <c:h val="0.5203196705147507"/>
        </c:manualLayout>
      </c:layout>
      <c:barChart>
        <c:barDir val="col"/>
        <c:grouping val="stacked"/>
        <c:ser>
          <c:idx val="0"/>
          <c:order val="0"/>
          <c:tx>
            <c:strRef>
              <c:f>BS_Sum_P_MS!$AQ$19</c:f>
              <c:strCache>
                <c:ptCount val="1"/>
                <c:pt idx="0">
                  <c:v>Cost of Goods Sold</c:v>
                </c:pt>
              </c:strCache>
            </c:strRef>
          </c:tx>
          <c:spPr>
            <a:solidFill>
              <a:srgbClr val="C0504D"/>
            </a:solidFill>
            <a:ln>
              <a:solidFill>
                <a:schemeClr val="accent2"/>
              </a:solidFill>
            </a:ln>
          </c:spPr>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BS_Sum_P_MS!$AX$19:$BE$19</c:f>
              <c:numCache>
                <c:formatCode>_(#,##0_);\(#,##0\);_("-"_)</c:formatCode>
                <c:ptCount val="8"/>
                <c:pt idx="0">
                  <c:v>25</c:v>
                </c:pt>
                <c:pt idx="1">
                  <c:v>25.624999999999996</c:v>
                </c:pt>
                <c:pt idx="2">
                  <c:v>26.265624999999993</c:v>
                </c:pt>
                <c:pt idx="3">
                  <c:v>26.922265624999991</c:v>
                </c:pt>
                <c:pt idx="4">
                  <c:v>27.59532226562499</c:v>
                </c:pt>
                <c:pt idx="5">
                  <c:v>28.285205322265611</c:v>
                </c:pt>
                <c:pt idx="6">
                  <c:v>28.992335455322248</c:v>
                </c:pt>
                <c:pt idx="7">
                  <c:v>29.717143841705301</c:v>
                </c:pt>
              </c:numCache>
            </c:numRef>
          </c:val>
        </c:ser>
        <c:overlap val="100"/>
        <c:axId val="295078144"/>
        <c:axId val="295092224"/>
      </c:barChart>
      <c:catAx>
        <c:axId val="295078144"/>
        <c:scaling>
          <c:orientation val="minMax"/>
        </c:scaling>
        <c:axPos val="b"/>
        <c:tickLblPos val="nextTo"/>
        <c:crossAx val="295092224"/>
        <c:crosses val="autoZero"/>
        <c:auto val="1"/>
        <c:lblAlgn val="ctr"/>
        <c:lblOffset val="100"/>
      </c:catAx>
      <c:valAx>
        <c:axId val="295092224"/>
        <c:scaling>
          <c:orientation val="minMax"/>
        </c:scaling>
        <c:axPos val="l"/>
        <c:numFmt formatCode="_(#,##0_);\(#,##0\);_(&quot;-&quot;_)" sourceLinked="1"/>
        <c:tickLblPos val="nextTo"/>
        <c:crossAx val="295078144"/>
        <c:crosses val="autoZero"/>
        <c:crossBetween val="between"/>
      </c:valAx>
    </c:plotArea>
    <c:legend>
      <c:legendPos val="t"/>
      <c:layout>
        <c:manualLayout>
          <c:xMode val="edge"/>
          <c:yMode val="edge"/>
          <c:x val="0.21790783707168312"/>
          <c:y val="0.12310185185185243"/>
          <c:w val="0.5798369438564831"/>
          <c:h val="0.1266582434507025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11" l="0.70000000000000062" r="0.70000000000000062" t="0.750000000000004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BS_Sum_P_MS!$AU$23</c:f>
          <c:strCache>
            <c:ptCount val="1"/>
            <c:pt idx="0">
              <c:v>Operating Expenditure</c:v>
            </c:pt>
          </c:strCache>
        </c:strRef>
      </c:tx>
      <c:txPr>
        <a:bodyPr/>
        <a:lstStyle/>
        <a:p>
          <a:pPr>
            <a:defRPr sz="900"/>
          </a:pPr>
          <a:endParaRPr lang="en-US"/>
        </a:p>
      </c:txPr>
    </c:title>
    <c:plotArea>
      <c:layout>
        <c:manualLayout>
          <c:layoutTarget val="inner"/>
          <c:xMode val="edge"/>
          <c:yMode val="edge"/>
          <c:x val="0.12844793982062927"/>
          <c:y val="0.25496860643532054"/>
          <c:w val="0.83326464712119364"/>
          <c:h val="0.54123361826528682"/>
        </c:manualLayout>
      </c:layout>
      <c:barChart>
        <c:barDir val="col"/>
        <c:grouping val="stacked"/>
        <c:ser>
          <c:idx val="0"/>
          <c:order val="0"/>
          <c:tx>
            <c:strRef>
              <c:f>BS_Sum_P_MS!$AQ$25</c:f>
              <c:strCache>
                <c:ptCount val="1"/>
                <c:pt idx="0">
                  <c:v>Operating Expenditure</c:v>
                </c:pt>
              </c:strCache>
            </c:strRef>
          </c:tx>
          <c:spPr>
            <a:solidFill>
              <a:schemeClr val="accent3"/>
            </a:solidFill>
            <a:ln>
              <a:solidFill>
                <a:schemeClr val="accent3"/>
              </a:solidFill>
            </a:ln>
          </c:spPr>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BS_Sum_P_MS!$AX$25:$BE$25</c:f>
              <c:numCache>
                <c:formatCode>_(#,##0_);\(#,##0\);_("-"_)</c:formatCode>
                <c:ptCount val="8"/>
                <c:pt idx="0">
                  <c:v>40</c:v>
                </c:pt>
                <c:pt idx="1">
                  <c:v>41</c:v>
                </c:pt>
                <c:pt idx="2">
                  <c:v>42.024999999999999</c:v>
                </c:pt>
                <c:pt idx="3">
                  <c:v>43.075624999999995</c:v>
                </c:pt>
                <c:pt idx="4">
                  <c:v>44.152515624999992</c:v>
                </c:pt>
                <c:pt idx="5">
                  <c:v>45.256328515624986</c:v>
                </c:pt>
                <c:pt idx="6">
                  <c:v>46.387736728515605</c:v>
                </c:pt>
                <c:pt idx="7">
                  <c:v>47.547430146728495</c:v>
                </c:pt>
              </c:numCache>
            </c:numRef>
          </c:val>
        </c:ser>
        <c:overlap val="100"/>
        <c:axId val="295112064"/>
        <c:axId val="295122048"/>
      </c:barChart>
      <c:catAx>
        <c:axId val="295112064"/>
        <c:scaling>
          <c:orientation val="minMax"/>
        </c:scaling>
        <c:axPos val="b"/>
        <c:tickLblPos val="nextTo"/>
        <c:crossAx val="295122048"/>
        <c:crosses val="autoZero"/>
        <c:auto val="1"/>
        <c:lblAlgn val="ctr"/>
        <c:lblOffset val="100"/>
      </c:catAx>
      <c:valAx>
        <c:axId val="295122048"/>
        <c:scaling>
          <c:orientation val="minMax"/>
        </c:scaling>
        <c:axPos val="l"/>
        <c:numFmt formatCode="_(#,##0_);\(#,##0\);_(&quot;-&quot;_)" sourceLinked="1"/>
        <c:tickLblPos val="nextTo"/>
        <c:crossAx val="295112064"/>
        <c:crosses val="autoZero"/>
        <c:crossBetween val="between"/>
      </c:valAx>
    </c:plotArea>
    <c:legend>
      <c:legendPos val="t"/>
      <c:layout>
        <c:manualLayout>
          <c:xMode val="edge"/>
          <c:yMode val="edge"/>
          <c:x val="0.20259287184841079"/>
          <c:y val="0.12310185185185243"/>
          <c:w val="0.62578183952630151"/>
          <c:h val="0.1266582434507025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11" l="0.70000000000000062" r="0.70000000000000062" t="0.750000000000004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12</xdr:row>
      <xdr:rowOff>0</xdr:rowOff>
    </xdr:from>
    <xdr:to>
      <xdr:col>7</xdr:col>
      <xdr:colOff>429155</xdr:colOff>
      <xdr:row>17</xdr:row>
      <xdr:rowOff>0</xdr:rowOff>
    </xdr:to>
    <xdr:pic>
      <xdr:nvPicPr>
        <xdr:cNvPr id="2" name="Picture 1" descr="WorkbookLogo1.png"/>
        <xdr:cNvPicPr>
          <a:picLocks noChangeAspect="1"/>
        </xdr:cNvPicPr>
      </xdr:nvPicPr>
      <xdr:blipFill>
        <a:blip xmlns:r="http://schemas.openxmlformats.org/officeDocument/2006/relationships" r:embed="rId1" cstate="print"/>
        <a:stretch>
          <a:fillRect/>
        </a:stretch>
      </xdr:blipFill>
      <xdr:spPr>
        <a:xfrm>
          <a:off x="1352551" y="1752600"/>
          <a:ext cx="1981729"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19</xdr:row>
      <xdr:rowOff>0</xdr:rowOff>
    </xdr:from>
    <xdr:to>
      <xdr:col>4</xdr:col>
      <xdr:colOff>0</xdr:colOff>
      <xdr:row>20</xdr:row>
      <xdr:rowOff>0</xdr:rowOff>
    </xdr:to>
    <xdr:sp macro="" textlink="">
      <xdr:nvSpPr>
        <xdr:cNvPr id="2" name="Rectangle 1"/>
        <xdr:cNvSpPr/>
      </xdr:nvSpPr>
      <xdr:spPr>
        <a:xfrm>
          <a:off x="485775" y="2886075"/>
          <a:ext cx="314325" cy="1333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6</xdr:col>
      <xdr:colOff>0</xdr:colOff>
      <xdr:row>19</xdr:row>
      <xdr:rowOff>0</xdr:rowOff>
    </xdr:from>
    <xdr:to>
      <xdr:col>7</xdr:col>
      <xdr:colOff>0</xdr:colOff>
      <xdr:row>20</xdr:row>
      <xdr:rowOff>0</xdr:rowOff>
    </xdr:to>
    <xdr:sp macro="" textlink="">
      <xdr:nvSpPr>
        <xdr:cNvPr id="3" name="Rectangle 2"/>
        <xdr:cNvSpPr/>
      </xdr:nvSpPr>
      <xdr:spPr>
        <a:xfrm>
          <a:off x="1066800" y="3019425"/>
          <a:ext cx="133350" cy="26670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9</xdr:col>
      <xdr:colOff>0</xdr:colOff>
      <xdr:row>19</xdr:row>
      <xdr:rowOff>0</xdr:rowOff>
    </xdr:from>
    <xdr:to>
      <xdr:col>10</xdr:col>
      <xdr:colOff>0</xdr:colOff>
      <xdr:row>20</xdr:row>
      <xdr:rowOff>0</xdr:rowOff>
    </xdr:to>
    <xdr:sp macro="" textlink="">
      <xdr:nvSpPr>
        <xdr:cNvPr id="4" name="Rectangle 3"/>
        <xdr:cNvSpPr/>
      </xdr:nvSpPr>
      <xdr:spPr>
        <a:xfrm>
          <a:off x="1466850" y="3686175"/>
          <a:ext cx="133350" cy="9334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12</xdr:col>
      <xdr:colOff>0</xdr:colOff>
      <xdr:row>19</xdr:row>
      <xdr:rowOff>0</xdr:rowOff>
    </xdr:from>
    <xdr:to>
      <xdr:col>13</xdr:col>
      <xdr:colOff>0</xdr:colOff>
      <xdr:row>20</xdr:row>
      <xdr:rowOff>0</xdr:rowOff>
    </xdr:to>
    <xdr:sp macro="" textlink="">
      <xdr:nvSpPr>
        <xdr:cNvPr id="5" name="Rectangle 4"/>
        <xdr:cNvSpPr/>
      </xdr:nvSpPr>
      <xdr:spPr>
        <a:xfrm>
          <a:off x="1866900" y="3686175"/>
          <a:ext cx="133350" cy="9334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15</xdr:col>
      <xdr:colOff>0</xdr:colOff>
      <xdr:row>19</xdr:row>
      <xdr:rowOff>0</xdr:rowOff>
    </xdr:from>
    <xdr:to>
      <xdr:col>16</xdr:col>
      <xdr:colOff>0</xdr:colOff>
      <xdr:row>20</xdr:row>
      <xdr:rowOff>0</xdr:rowOff>
    </xdr:to>
    <xdr:sp macro="" textlink="">
      <xdr:nvSpPr>
        <xdr:cNvPr id="6" name="Rectangle 5"/>
        <xdr:cNvSpPr/>
      </xdr:nvSpPr>
      <xdr:spPr>
        <a:xfrm>
          <a:off x="2266950" y="3686175"/>
          <a:ext cx="133350" cy="9334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3</xdr:col>
      <xdr:colOff>0</xdr:colOff>
      <xdr:row>26</xdr:row>
      <xdr:rowOff>0</xdr:rowOff>
    </xdr:from>
    <xdr:to>
      <xdr:col>4</xdr:col>
      <xdr:colOff>0</xdr:colOff>
      <xdr:row>27</xdr:row>
      <xdr:rowOff>0</xdr:rowOff>
    </xdr:to>
    <xdr:sp macro="" textlink="">
      <xdr:nvSpPr>
        <xdr:cNvPr id="7" name="Rectangle 6"/>
        <xdr:cNvSpPr/>
      </xdr:nvSpPr>
      <xdr:spPr>
        <a:xfrm>
          <a:off x="485775" y="5981700"/>
          <a:ext cx="314325" cy="1333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6</xdr:col>
      <xdr:colOff>0</xdr:colOff>
      <xdr:row>26</xdr:row>
      <xdr:rowOff>0</xdr:rowOff>
    </xdr:from>
    <xdr:to>
      <xdr:col>7</xdr:col>
      <xdr:colOff>0</xdr:colOff>
      <xdr:row>27</xdr:row>
      <xdr:rowOff>0</xdr:rowOff>
    </xdr:to>
    <xdr:sp macro="" textlink="">
      <xdr:nvSpPr>
        <xdr:cNvPr id="8" name="Rectangle 7"/>
        <xdr:cNvSpPr/>
      </xdr:nvSpPr>
      <xdr:spPr>
        <a:xfrm>
          <a:off x="1247775" y="6248400"/>
          <a:ext cx="133350" cy="1333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9</xdr:col>
      <xdr:colOff>0</xdr:colOff>
      <xdr:row>26</xdr:row>
      <xdr:rowOff>0</xdr:rowOff>
    </xdr:from>
    <xdr:to>
      <xdr:col>10</xdr:col>
      <xdr:colOff>0</xdr:colOff>
      <xdr:row>27</xdr:row>
      <xdr:rowOff>0</xdr:rowOff>
    </xdr:to>
    <xdr:sp macro="" textlink="">
      <xdr:nvSpPr>
        <xdr:cNvPr id="9" name="Rectangle 8"/>
        <xdr:cNvSpPr/>
      </xdr:nvSpPr>
      <xdr:spPr>
        <a:xfrm>
          <a:off x="2085975" y="6248400"/>
          <a:ext cx="133350" cy="1333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9</xdr:col>
      <xdr:colOff>0</xdr:colOff>
      <xdr:row>30</xdr:row>
      <xdr:rowOff>0</xdr:rowOff>
    </xdr:from>
    <xdr:to>
      <xdr:col>10</xdr:col>
      <xdr:colOff>0</xdr:colOff>
      <xdr:row>31</xdr:row>
      <xdr:rowOff>0</xdr:rowOff>
    </xdr:to>
    <xdr:sp macro="" textlink="">
      <xdr:nvSpPr>
        <xdr:cNvPr id="10" name="Rectangle 9"/>
        <xdr:cNvSpPr/>
      </xdr:nvSpPr>
      <xdr:spPr>
        <a:xfrm>
          <a:off x="2266950" y="7315200"/>
          <a:ext cx="180975" cy="1333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6</xdr:col>
      <xdr:colOff>0</xdr:colOff>
      <xdr:row>34</xdr:row>
      <xdr:rowOff>0</xdr:rowOff>
    </xdr:from>
    <xdr:to>
      <xdr:col>7</xdr:col>
      <xdr:colOff>0</xdr:colOff>
      <xdr:row>35</xdr:row>
      <xdr:rowOff>0</xdr:rowOff>
    </xdr:to>
    <xdr:sp macro="" textlink="">
      <xdr:nvSpPr>
        <xdr:cNvPr id="11" name="Rectangle 10"/>
        <xdr:cNvSpPr/>
      </xdr:nvSpPr>
      <xdr:spPr>
        <a:xfrm>
          <a:off x="1466850" y="8515350"/>
          <a:ext cx="352425" cy="1333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6</xdr:col>
      <xdr:colOff>0</xdr:colOff>
      <xdr:row>38</xdr:row>
      <xdr:rowOff>0</xdr:rowOff>
    </xdr:from>
    <xdr:to>
      <xdr:col>7</xdr:col>
      <xdr:colOff>0</xdr:colOff>
      <xdr:row>39</xdr:row>
      <xdr:rowOff>0</xdr:rowOff>
    </xdr:to>
    <xdr:sp macro="" textlink="">
      <xdr:nvSpPr>
        <xdr:cNvPr id="12" name="Rectangle 11"/>
        <xdr:cNvSpPr/>
      </xdr:nvSpPr>
      <xdr:spPr>
        <a:xfrm>
          <a:off x="1466850" y="9182100"/>
          <a:ext cx="409575" cy="1333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9</xdr:col>
      <xdr:colOff>0</xdr:colOff>
      <xdr:row>38</xdr:row>
      <xdr:rowOff>0</xdr:rowOff>
    </xdr:from>
    <xdr:to>
      <xdr:col>10</xdr:col>
      <xdr:colOff>0</xdr:colOff>
      <xdr:row>39</xdr:row>
      <xdr:rowOff>0</xdr:rowOff>
    </xdr:to>
    <xdr:sp macro="" textlink="">
      <xdr:nvSpPr>
        <xdr:cNvPr id="13" name="Rectangle 12"/>
        <xdr:cNvSpPr/>
      </xdr:nvSpPr>
      <xdr:spPr>
        <a:xfrm>
          <a:off x="2324100" y="9182100"/>
          <a:ext cx="180975" cy="1333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9</xdr:col>
      <xdr:colOff>0</xdr:colOff>
      <xdr:row>42</xdr:row>
      <xdr:rowOff>0</xdr:rowOff>
    </xdr:from>
    <xdr:to>
      <xdr:col>10</xdr:col>
      <xdr:colOff>0</xdr:colOff>
      <xdr:row>43</xdr:row>
      <xdr:rowOff>0</xdr:rowOff>
    </xdr:to>
    <xdr:sp macro="" textlink="">
      <xdr:nvSpPr>
        <xdr:cNvPr id="14" name="Rectangle 13"/>
        <xdr:cNvSpPr/>
      </xdr:nvSpPr>
      <xdr:spPr>
        <a:xfrm>
          <a:off x="2324100" y="10515600"/>
          <a:ext cx="180975" cy="1333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12</xdr:col>
      <xdr:colOff>0</xdr:colOff>
      <xdr:row>42</xdr:row>
      <xdr:rowOff>0</xdr:rowOff>
    </xdr:from>
    <xdr:to>
      <xdr:col>13</xdr:col>
      <xdr:colOff>0</xdr:colOff>
      <xdr:row>43</xdr:row>
      <xdr:rowOff>0</xdr:rowOff>
    </xdr:to>
    <xdr:sp macro="" textlink="">
      <xdr:nvSpPr>
        <xdr:cNvPr id="15" name="Rectangle 14"/>
        <xdr:cNvSpPr/>
      </xdr:nvSpPr>
      <xdr:spPr>
        <a:xfrm>
          <a:off x="2828925" y="10915650"/>
          <a:ext cx="133350" cy="1333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12</xdr:col>
      <xdr:colOff>0</xdr:colOff>
      <xdr:row>46</xdr:row>
      <xdr:rowOff>0</xdr:rowOff>
    </xdr:from>
    <xdr:to>
      <xdr:col>13</xdr:col>
      <xdr:colOff>0</xdr:colOff>
      <xdr:row>47</xdr:row>
      <xdr:rowOff>0</xdr:rowOff>
    </xdr:to>
    <xdr:sp macro="" textlink="">
      <xdr:nvSpPr>
        <xdr:cNvPr id="16" name="Rectangle 15"/>
        <xdr:cNvSpPr/>
      </xdr:nvSpPr>
      <xdr:spPr>
        <a:xfrm>
          <a:off x="2828925" y="12115800"/>
          <a:ext cx="133350" cy="1333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4</xdr:col>
      <xdr:colOff>1</xdr:colOff>
      <xdr:row>26</xdr:row>
      <xdr:rowOff>66675</xdr:rowOff>
    </xdr:from>
    <xdr:to>
      <xdr:col>6</xdr:col>
      <xdr:colOff>1</xdr:colOff>
      <xdr:row>26</xdr:row>
      <xdr:rowOff>68263</xdr:rowOff>
    </xdr:to>
    <xdr:cxnSp macro="">
      <xdr:nvCxnSpPr>
        <xdr:cNvPr id="17" name="Elbow Connector 16"/>
        <xdr:cNvCxnSpPr>
          <a:stCxn id="8" idx="1"/>
          <a:endCxn id="7" idx="3"/>
        </xdr:cNvCxnSpPr>
      </xdr:nvCxnSpPr>
      <xdr:spPr>
        <a:xfrm rot="10800000">
          <a:off x="1857376" y="3914775"/>
          <a:ext cx="485775" cy="1588"/>
        </a:xfrm>
        <a:prstGeom prst="bentConnector3">
          <a:avLst>
            <a:gd name="adj1" fmla="val 50000"/>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xdr:colOff>
      <xdr:row>26</xdr:row>
      <xdr:rowOff>66675</xdr:rowOff>
    </xdr:from>
    <xdr:to>
      <xdr:col>9</xdr:col>
      <xdr:colOff>1</xdr:colOff>
      <xdr:row>26</xdr:row>
      <xdr:rowOff>68263</xdr:rowOff>
    </xdr:to>
    <xdr:cxnSp macro="">
      <xdr:nvCxnSpPr>
        <xdr:cNvPr id="18" name="Elbow Connector 17"/>
        <xdr:cNvCxnSpPr>
          <a:stCxn id="9" idx="1"/>
          <a:endCxn id="8" idx="3"/>
        </xdr:cNvCxnSpPr>
      </xdr:nvCxnSpPr>
      <xdr:spPr>
        <a:xfrm rot="10800000">
          <a:off x="3533776" y="3914775"/>
          <a:ext cx="447675" cy="1588"/>
        </a:xfrm>
        <a:prstGeom prst="bentConnector3">
          <a:avLst>
            <a:gd name="adj1" fmla="val 50000"/>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xdr:colOff>
      <xdr:row>26</xdr:row>
      <xdr:rowOff>66675</xdr:rowOff>
    </xdr:from>
    <xdr:to>
      <xdr:col>9</xdr:col>
      <xdr:colOff>1</xdr:colOff>
      <xdr:row>30</xdr:row>
      <xdr:rowOff>66675</xdr:rowOff>
    </xdr:to>
    <xdr:cxnSp macro="">
      <xdr:nvCxnSpPr>
        <xdr:cNvPr id="19" name="Elbow Connector 18"/>
        <xdr:cNvCxnSpPr>
          <a:stCxn id="10" idx="1"/>
          <a:endCxn id="8" idx="3"/>
        </xdr:cNvCxnSpPr>
      </xdr:nvCxnSpPr>
      <xdr:spPr>
        <a:xfrm rot="10800000">
          <a:off x="3533776" y="3914775"/>
          <a:ext cx="447675" cy="533400"/>
        </a:xfrm>
        <a:prstGeom prst="bentConnector3">
          <a:avLst>
            <a:gd name="adj1" fmla="val 50000"/>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xdr:colOff>
      <xdr:row>26</xdr:row>
      <xdr:rowOff>66675</xdr:rowOff>
    </xdr:from>
    <xdr:to>
      <xdr:col>6</xdr:col>
      <xdr:colOff>1</xdr:colOff>
      <xdr:row>34</xdr:row>
      <xdr:rowOff>66675</xdr:rowOff>
    </xdr:to>
    <xdr:cxnSp macro="">
      <xdr:nvCxnSpPr>
        <xdr:cNvPr id="20" name="Elbow Connector 19"/>
        <xdr:cNvCxnSpPr>
          <a:stCxn id="11" idx="1"/>
          <a:endCxn id="7" idx="3"/>
        </xdr:cNvCxnSpPr>
      </xdr:nvCxnSpPr>
      <xdr:spPr>
        <a:xfrm rot="10800000">
          <a:off x="1857376" y="3914775"/>
          <a:ext cx="485775" cy="1066800"/>
        </a:xfrm>
        <a:prstGeom prst="bentConnector3">
          <a:avLst>
            <a:gd name="adj1" fmla="val 50000"/>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xdr:colOff>
      <xdr:row>26</xdr:row>
      <xdr:rowOff>66675</xdr:rowOff>
    </xdr:from>
    <xdr:to>
      <xdr:col>6</xdr:col>
      <xdr:colOff>1</xdr:colOff>
      <xdr:row>38</xdr:row>
      <xdr:rowOff>66675</xdr:rowOff>
    </xdr:to>
    <xdr:cxnSp macro="">
      <xdr:nvCxnSpPr>
        <xdr:cNvPr id="21" name="Elbow Connector 20"/>
        <xdr:cNvCxnSpPr>
          <a:stCxn id="12" idx="1"/>
          <a:endCxn id="7" idx="3"/>
        </xdr:cNvCxnSpPr>
      </xdr:nvCxnSpPr>
      <xdr:spPr>
        <a:xfrm rot="10800000">
          <a:off x="1857376" y="3914775"/>
          <a:ext cx="485775" cy="1600200"/>
        </a:xfrm>
        <a:prstGeom prst="bentConnector3">
          <a:avLst>
            <a:gd name="adj1" fmla="val 50000"/>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xdr:colOff>
      <xdr:row>38</xdr:row>
      <xdr:rowOff>66675</xdr:rowOff>
    </xdr:from>
    <xdr:to>
      <xdr:col>9</xdr:col>
      <xdr:colOff>1</xdr:colOff>
      <xdr:row>38</xdr:row>
      <xdr:rowOff>68263</xdr:rowOff>
    </xdr:to>
    <xdr:cxnSp macro="">
      <xdr:nvCxnSpPr>
        <xdr:cNvPr id="22" name="Elbow Connector 21"/>
        <xdr:cNvCxnSpPr>
          <a:stCxn id="13" idx="1"/>
          <a:endCxn id="12" idx="3"/>
        </xdr:cNvCxnSpPr>
      </xdr:nvCxnSpPr>
      <xdr:spPr>
        <a:xfrm rot="10800000">
          <a:off x="3533776" y="5514975"/>
          <a:ext cx="447675" cy="1588"/>
        </a:xfrm>
        <a:prstGeom prst="bentConnector3">
          <a:avLst>
            <a:gd name="adj1" fmla="val 50000"/>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xdr:colOff>
      <xdr:row>38</xdr:row>
      <xdr:rowOff>66675</xdr:rowOff>
    </xdr:from>
    <xdr:to>
      <xdr:col>9</xdr:col>
      <xdr:colOff>1</xdr:colOff>
      <xdr:row>42</xdr:row>
      <xdr:rowOff>66675</xdr:rowOff>
    </xdr:to>
    <xdr:cxnSp macro="">
      <xdr:nvCxnSpPr>
        <xdr:cNvPr id="23" name="Elbow Connector 22"/>
        <xdr:cNvCxnSpPr>
          <a:stCxn id="14" idx="1"/>
          <a:endCxn id="12" idx="3"/>
        </xdr:cNvCxnSpPr>
      </xdr:nvCxnSpPr>
      <xdr:spPr>
        <a:xfrm rot="10800000">
          <a:off x="3533776" y="5514975"/>
          <a:ext cx="447675" cy="533400"/>
        </a:xfrm>
        <a:prstGeom prst="bentConnector3">
          <a:avLst>
            <a:gd name="adj1" fmla="val 50000"/>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xdr:colOff>
      <xdr:row>42</xdr:row>
      <xdr:rowOff>66675</xdr:rowOff>
    </xdr:from>
    <xdr:to>
      <xdr:col>12</xdr:col>
      <xdr:colOff>1</xdr:colOff>
      <xdr:row>42</xdr:row>
      <xdr:rowOff>68263</xdr:rowOff>
    </xdr:to>
    <xdr:cxnSp macro="">
      <xdr:nvCxnSpPr>
        <xdr:cNvPr id="24" name="Elbow Connector 23"/>
        <xdr:cNvCxnSpPr>
          <a:stCxn id="15" idx="1"/>
          <a:endCxn id="14" idx="3"/>
        </xdr:cNvCxnSpPr>
      </xdr:nvCxnSpPr>
      <xdr:spPr>
        <a:xfrm rot="10800000">
          <a:off x="5172076" y="6048375"/>
          <a:ext cx="371475" cy="1588"/>
        </a:xfrm>
        <a:prstGeom prst="bentConnector3">
          <a:avLst>
            <a:gd name="adj1" fmla="val 50000"/>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xdr:colOff>
      <xdr:row>42</xdr:row>
      <xdr:rowOff>66675</xdr:rowOff>
    </xdr:from>
    <xdr:to>
      <xdr:col>12</xdr:col>
      <xdr:colOff>1</xdr:colOff>
      <xdr:row>46</xdr:row>
      <xdr:rowOff>66675</xdr:rowOff>
    </xdr:to>
    <xdr:cxnSp macro="">
      <xdr:nvCxnSpPr>
        <xdr:cNvPr id="25" name="Elbow Connector 24"/>
        <xdr:cNvCxnSpPr>
          <a:stCxn id="16" idx="1"/>
          <a:endCxn id="14" idx="3"/>
        </xdr:cNvCxnSpPr>
      </xdr:nvCxnSpPr>
      <xdr:spPr>
        <a:xfrm rot="10800000">
          <a:off x="5172076" y="6048375"/>
          <a:ext cx="371475" cy="533400"/>
        </a:xfrm>
        <a:prstGeom prst="bentConnector3">
          <a:avLst>
            <a:gd name="adj1" fmla="val 50000"/>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21</xdr:col>
      <xdr:colOff>127</xdr:colOff>
      <xdr:row>6</xdr:row>
      <xdr:rowOff>127</xdr:rowOff>
    </xdr:from>
    <xdr:to>
      <xdr:col>33</xdr:col>
      <xdr:colOff>535844</xdr:colOff>
      <xdr:row>24</xdr:row>
      <xdr:rowOff>253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128</xdr:colOff>
      <xdr:row>45</xdr:row>
      <xdr:rowOff>127</xdr:rowOff>
    </xdr:from>
    <xdr:to>
      <xdr:col>33</xdr:col>
      <xdr:colOff>535845</xdr:colOff>
      <xdr:row>63</xdr:row>
      <xdr:rowOff>253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64644</xdr:colOff>
      <xdr:row>45</xdr:row>
      <xdr:rowOff>127</xdr:rowOff>
    </xdr:from>
    <xdr:to>
      <xdr:col>39</xdr:col>
      <xdr:colOff>286</xdr:colOff>
      <xdr:row>63</xdr:row>
      <xdr:rowOff>253</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64358</xdr:colOff>
      <xdr:row>26</xdr:row>
      <xdr:rowOff>0</xdr:rowOff>
    </xdr:from>
    <xdr:to>
      <xdr:col>39</xdr:col>
      <xdr:colOff>0</xdr:colOff>
      <xdr:row>43</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64358</xdr:colOff>
      <xdr:row>5</xdr:row>
      <xdr:rowOff>133224</xdr:rowOff>
    </xdr:from>
    <xdr:to>
      <xdr:col>39</xdr:col>
      <xdr:colOff>0</xdr:colOff>
      <xdr:row>24</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26</xdr:row>
      <xdr:rowOff>0</xdr:rowOff>
    </xdr:from>
    <xdr:to>
      <xdr:col>33</xdr:col>
      <xdr:colOff>535717</xdr:colOff>
      <xdr:row>43</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Tahoma"/>
        <a:ea typeface="Tahoma"/>
        <a:cs typeface="Tahoma"/>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Tahoma"/>
        <a:ea typeface="Tahoma"/>
        <a:cs typeface="Tahoma"/>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estpracticemodelling.com/training_models_disclaimer" TargetMode="External"/><Relationship Id="rId1" Type="http://schemas.openxmlformats.org/officeDocument/2006/relationships/hyperlink" Target="http://www.bestpracticemodelling.com/network/subscrib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11.bin"/><Relationship Id="rId4"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13.bin"/><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vmlDrawing" Target="../drawings/vmlDrawing16.vml"/><Relationship Id="rId1" Type="http://schemas.openxmlformats.org/officeDocument/2006/relationships/printerSettings" Target="../printerSettings/printerSettings16.bin"/><Relationship Id="rId4"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vmlDrawing" Target="../drawings/vmlDrawing19.vml"/><Relationship Id="rId1" Type="http://schemas.openxmlformats.org/officeDocument/2006/relationships/printerSettings" Target="../printerSettings/printerSettings18.bin"/><Relationship Id="rId4" Type="http://schemas.openxmlformats.org/officeDocument/2006/relationships/comments" Target="../comments5.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vmlDrawing" Target="../drawings/vmlDrawing21.vml"/><Relationship Id="rId1" Type="http://schemas.openxmlformats.org/officeDocument/2006/relationships/printerSettings" Target="../printerSettings/printerSettings19.bin"/><Relationship Id="rId4" Type="http://schemas.openxmlformats.org/officeDocument/2006/relationships/comments" Target="../comments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vmlDrawing" Target="../drawings/vmlDrawing23.vml"/><Relationship Id="rId1" Type="http://schemas.openxmlformats.org/officeDocument/2006/relationships/printerSettings" Target="../printerSettings/printerSettings20.bin"/><Relationship Id="rId4" Type="http://schemas.openxmlformats.org/officeDocument/2006/relationships/comments" Target="../comments7.xml"/></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6.vml"/><Relationship Id="rId2" Type="http://schemas.openxmlformats.org/officeDocument/2006/relationships/drawing" Target="../drawings/drawing3.xml"/><Relationship Id="rId1" Type="http://schemas.openxmlformats.org/officeDocument/2006/relationships/printerSettings" Target="../printerSettings/printerSettings22.bin"/><Relationship Id="rId4" Type="http://schemas.openxmlformats.org/officeDocument/2006/relationships/vmlDrawing" Target="../drawings/vmlDrawing27.vml"/></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31.vml"/><Relationship Id="rId2" Type="http://schemas.openxmlformats.org/officeDocument/2006/relationships/vmlDrawing" Target="../drawings/vmlDrawing30.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32.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33.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34.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vmlDrawing" Target="../drawings/vmlDrawing35.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bestpracticemodelling.com/downloads/example_models" TargetMode="External"/><Relationship Id="rId7" Type="http://schemas.openxmlformats.org/officeDocument/2006/relationships/vmlDrawing" Target="../drawings/vmlDrawing3.vml"/><Relationship Id="rId2" Type="http://schemas.openxmlformats.org/officeDocument/2006/relationships/hyperlink" Target="mailto:Info@bpmglobal.com?subject=Inquiry%20-%20Re%20Forecast%20Business%20Planning%20Model%206.0" TargetMode="External"/><Relationship Id="rId1" Type="http://schemas.openxmlformats.org/officeDocument/2006/relationships/hyperlink" Target="http://www.ssrb.org/" TargetMode="External"/><Relationship Id="rId6" Type="http://schemas.openxmlformats.org/officeDocument/2006/relationships/printerSettings" Target="../printerSettings/printerSettings5.bin"/><Relationship Id="rId5" Type="http://schemas.openxmlformats.org/officeDocument/2006/relationships/hyperlink" Target="http://www.bestpracticemodelling.com/downloads/standards" TargetMode="External"/><Relationship Id="rId4" Type="http://schemas.openxmlformats.org/officeDocument/2006/relationships/hyperlink" Target="http://www.bestpracticemodelling.com/"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pageSetUpPr autoPageBreaks="0" fitToPage="1"/>
  </sheetPr>
  <dimension ref="C2:N30"/>
  <sheetViews>
    <sheetView showGridLines="0" tabSelected="1" zoomScaleNormal="100" workbookViewId="0"/>
  </sheetViews>
  <sheetFormatPr defaultColWidth="11.83203125" defaultRowHeight="10.5"/>
  <cols>
    <col min="3" max="6" width="3.83203125" customWidth="1"/>
  </cols>
  <sheetData>
    <row r="2" spans="3:7" s="16" customFormat="1"/>
    <row r="3" spans="3:7" s="16" customFormat="1"/>
    <row r="4" spans="3:7" s="16" customFormat="1"/>
    <row r="5" spans="3:7" s="16" customFormat="1"/>
    <row r="6" spans="3:7" s="16" customFormat="1"/>
    <row r="9" spans="3:7" ht="18">
      <c r="C9" s="1" t="s">
        <v>464</v>
      </c>
    </row>
    <row r="10" spans="3:7" ht="15">
      <c r="C10" s="3" t="str">
        <f>"SMA 8. Calculation Formulae - Best Practice Model Example"&amp;Err_Chks_Msg&amp;Sens_Chks_Msg&amp;Alt_Chks_Msg</f>
        <v>SMA 8. Calculation Formulae - Best Practice Model Example</v>
      </c>
    </row>
    <row r="11" spans="3:7">
      <c r="C11" s="245" t="s">
        <v>49</v>
      </c>
      <c r="D11" s="245"/>
      <c r="E11" s="245"/>
      <c r="F11" s="245"/>
      <c r="G11" s="245"/>
    </row>
    <row r="19" spans="3:14">
      <c r="C19" s="26" t="s">
        <v>292</v>
      </c>
    </row>
    <row r="21" spans="3:14">
      <c r="C21" s="26" t="s">
        <v>466</v>
      </c>
    </row>
    <row r="22" spans="3:14">
      <c r="C22" s="37" t="s">
        <v>203</v>
      </c>
      <c r="D22" s="7" t="s">
        <v>408</v>
      </c>
    </row>
    <row r="23" spans="3:14">
      <c r="C23" s="37" t="s">
        <v>203</v>
      </c>
      <c r="D23" s="246" t="s">
        <v>576</v>
      </c>
      <c r="E23" s="246"/>
      <c r="F23" s="246"/>
      <c r="G23" s="246"/>
      <c r="H23" s="246"/>
      <c r="I23" s="246"/>
      <c r="J23" s="246"/>
      <c r="K23" s="246"/>
      <c r="L23" s="246"/>
      <c r="M23" s="246"/>
      <c r="N23" s="246"/>
    </row>
    <row r="24" spans="3:14">
      <c r="C24" s="117"/>
      <c r="D24" s="246"/>
      <c r="E24" s="246"/>
      <c r="F24" s="246"/>
      <c r="G24" s="246"/>
      <c r="H24" s="246"/>
      <c r="I24" s="246"/>
      <c r="J24" s="246"/>
      <c r="K24" s="246"/>
      <c r="L24" s="246"/>
      <c r="M24" s="246"/>
      <c r="N24" s="246"/>
    </row>
    <row r="25" spans="3:14">
      <c r="C25" s="37" t="s">
        <v>203</v>
      </c>
      <c r="D25" s="178" t="s">
        <v>545</v>
      </c>
    </row>
    <row r="26" spans="3:14" s="16" customFormat="1">
      <c r="C26" s="229" t="s">
        <v>203</v>
      </c>
      <c r="D26" s="178" t="s">
        <v>543</v>
      </c>
      <c r="E26" s="5"/>
      <c r="F26" s="5"/>
      <c r="G26" s="5"/>
      <c r="H26" s="5"/>
      <c r="I26" s="5"/>
      <c r="J26" s="5"/>
      <c r="K26" s="5"/>
      <c r="L26" s="5"/>
      <c r="M26" s="5"/>
    </row>
    <row r="27" spans="3:14" s="16" customFormat="1">
      <c r="C27" s="229" t="s">
        <v>203</v>
      </c>
      <c r="D27" s="178" t="s">
        <v>571</v>
      </c>
      <c r="E27" s="5"/>
      <c r="F27" s="5"/>
      <c r="G27" s="5"/>
      <c r="H27" s="5"/>
      <c r="I27" s="5"/>
      <c r="J27" s="5"/>
      <c r="K27" s="5"/>
      <c r="L27" s="5"/>
      <c r="M27" s="5"/>
    </row>
    <row r="28" spans="3:14">
      <c r="C28" s="37" t="s">
        <v>203</v>
      </c>
      <c r="D28" s="154" t="s">
        <v>465</v>
      </c>
      <c r="H28" s="10" t="str">
        <f>Notes_BO!$B$1</f>
        <v>Model Notes</v>
      </c>
      <c r="I28" s="9"/>
    </row>
    <row r="30" spans="3:14">
      <c r="K30" s="16"/>
    </row>
  </sheetData>
  <mergeCells count="2">
    <mergeCell ref="C11:G11"/>
    <mergeCell ref="D23:N24"/>
  </mergeCells>
  <hyperlinks>
    <hyperlink ref="H28:I28" location="HL_Sheet_Main" tooltip="Go to Notes" display="HL_Sheet_Main"/>
    <hyperlink ref="D26:M26" r:id="rId1" display="Subscribe to the Best Practice Modelling Network to be notified of new best practice example models."/>
    <hyperlink ref="D27:M27" r:id="rId2" tooltip="View the training model usage terms and conditions." display="Use of this model is subject to the training model terms and conditions on the Best Practice Modelling website."/>
    <hyperlink ref="C11" location="HL_Home" tooltip="Go to Table of Contents" display="HL_Home"/>
  </hyperlinks>
  <pageMargins left="0.39370078740157499" right="0.39370078740157499" top="0.59055118110236204" bottom="0.98425196850393704" header="0" footer="0.31496062992126"/>
  <pageSetup paperSize="9" orientation="landscape" horizontalDpi="300" verticalDpi="300" r:id="rId3"/>
  <drawing r:id="rId4"/>
</worksheet>
</file>

<file path=xl/worksheets/sheet10.xml><?xml version="1.0" encoding="utf-8"?>
<worksheet xmlns="http://schemas.openxmlformats.org/spreadsheetml/2006/main" xmlns:r="http://schemas.openxmlformats.org/officeDocument/2006/relationships">
  <sheetPr codeName="Sheet9">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331</v>
      </c>
    </row>
    <row r="10" spans="3:7" ht="16.5">
      <c r="C10" s="28" t="s">
        <v>520</v>
      </c>
    </row>
    <row r="11" spans="3:7" ht="15">
      <c r="C11" s="2" t="str">
        <f>Model_Name</f>
        <v>SMA 8. Calculation Formulae - Best Practice Model Example</v>
      </c>
    </row>
    <row r="12" spans="3:7">
      <c r="C12" s="245" t="s">
        <v>49</v>
      </c>
      <c r="D12" s="245"/>
      <c r="E12" s="245"/>
      <c r="F12" s="245"/>
      <c r="G12" s="245"/>
    </row>
    <row r="13" spans="3:7" ht="12.75">
      <c r="C13" s="12" t="s">
        <v>54</v>
      </c>
      <c r="D13" s="13" t="s">
        <v>103</v>
      </c>
    </row>
    <row r="17" spans="3:3">
      <c r="C17" s="26" t="s">
        <v>512</v>
      </c>
    </row>
    <row r="18" spans="3:3">
      <c r="C18" s="188" t="s">
        <v>513</v>
      </c>
    </row>
    <row r="19" spans="3:3">
      <c r="C19" s="188"/>
    </row>
    <row r="20" spans="3:3">
      <c r="C20" s="188"/>
    </row>
  </sheetData>
  <mergeCells count="1">
    <mergeCell ref="C12:G12"/>
  </mergeCells>
  <hyperlinks>
    <hyperlink ref="C12" location="HL_Home" tooltip="Go to Table of Contents" display="HL_Home"/>
    <hyperlink ref="C13" location="HL_Sheet_Main_11" tooltip="Go to Previous Sheet" display="HL_Sheet_Main_11"/>
    <hyperlink ref="D13" location="HL_Sheet_Main_10" tooltip="Go to Next Sheet" display="HL_Sheet_Main_1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1.xml><?xml version="1.0" encoding="utf-8"?>
<worksheet xmlns="http://schemas.openxmlformats.org/spreadsheetml/2006/main" xmlns:r="http://schemas.openxmlformats.org/officeDocument/2006/relationships">
  <sheetPr codeName="Sheet10">
    <pageSetUpPr autoPageBreaks="0"/>
  </sheetPr>
  <dimension ref="A1:K65"/>
  <sheetViews>
    <sheetView showGridLines="0" zoomScaleNormal="100" workbookViewId="0">
      <pane xSplit="1" ySplit="4" topLeftCell="B5" activePane="bottomRight" state="frozen"/>
      <selection activeCell="Q57" sqref="Q57"/>
      <selection pane="topRight" activeCell="Q57" sqref="Q57"/>
      <selection pane="bottomLeft" activeCell="Q57" sqref="Q57"/>
      <selection pane="bottomRight"/>
    </sheetView>
  </sheetViews>
  <sheetFormatPr defaultRowHeight="10.5" outlineLevelRow="2"/>
  <cols>
    <col min="1" max="5" width="3.83203125" style="21" customWidth="1"/>
    <col min="6" max="256" width="11.83203125" style="21" customWidth="1"/>
    <col min="257" max="16384" width="9.33203125" style="21"/>
  </cols>
  <sheetData>
    <row r="1" spans="1:11" ht="18">
      <c r="B1" s="43" t="s">
        <v>331</v>
      </c>
    </row>
    <row r="2" spans="1:11" ht="15">
      <c r="B2" s="42" t="str">
        <f>Model_Name</f>
        <v>SMA 8. Calculation Formulae - Best Practice Model Example</v>
      </c>
    </row>
    <row r="3" spans="1:11">
      <c r="B3" s="296" t="s">
        <v>49</v>
      </c>
      <c r="C3" s="296"/>
      <c r="D3" s="296"/>
      <c r="E3" s="296"/>
      <c r="F3" s="296"/>
    </row>
    <row r="4" spans="1:11" ht="12.75">
      <c r="A4" s="44" t="s">
        <v>52</v>
      </c>
      <c r="B4" s="45" t="s">
        <v>54</v>
      </c>
      <c r="C4" s="46" t="s">
        <v>103</v>
      </c>
      <c r="D4" s="84" t="s">
        <v>206</v>
      </c>
      <c r="E4" s="84" t="s">
        <v>207</v>
      </c>
      <c r="F4" s="47" t="s">
        <v>208</v>
      </c>
    </row>
    <row r="7" spans="1:11" ht="12.75">
      <c r="B7" s="48" t="s">
        <v>331</v>
      </c>
    </row>
    <row r="9" spans="1:11" ht="11.25">
      <c r="C9" s="49" t="s">
        <v>349</v>
      </c>
    </row>
    <row r="11" spans="1:11">
      <c r="D11" s="50" t="s">
        <v>350</v>
      </c>
      <c r="J11" s="297" t="s">
        <v>188</v>
      </c>
      <c r="K11" s="297"/>
    </row>
    <row r="12" spans="1:11">
      <c r="D12" s="50" t="s">
        <v>342</v>
      </c>
      <c r="J12" s="287" t="str">
        <f>Annual</f>
        <v>Annual</v>
      </c>
      <c r="K12" s="287"/>
    </row>
    <row r="13" spans="1:11" ht="15.75" customHeight="1">
      <c r="D13" s="50" t="s">
        <v>351</v>
      </c>
      <c r="J13" s="54">
        <v>31</v>
      </c>
      <c r="K13" s="54">
        <v>12</v>
      </c>
    </row>
    <row r="14" spans="1:11">
      <c r="D14" s="50" t="s">
        <v>352</v>
      </c>
      <c r="J14" s="294">
        <v>40179</v>
      </c>
      <c r="K14" s="295"/>
    </row>
    <row r="15" spans="1:11">
      <c r="D15" s="50" t="s">
        <v>353</v>
      </c>
      <c r="J15" s="298">
        <v>10</v>
      </c>
      <c r="K15" s="298"/>
    </row>
    <row r="16" spans="1:11" ht="10.5" hidden="1" customHeight="1" outlineLevel="2">
      <c r="D16" s="50" t="s">
        <v>354</v>
      </c>
      <c r="J16" s="287" t="str">
        <f>INDEX(LU_Period_Type_Names,MATCH(TS_Periodicity,LU_Periodicity,0))</f>
        <v>Year</v>
      </c>
      <c r="K16" s="287"/>
    </row>
    <row r="17" spans="3:11" ht="10.5" hidden="1" customHeight="1" outlineLevel="2">
      <c r="D17" s="50" t="s">
        <v>355</v>
      </c>
      <c r="J17" s="299" t="str">
        <f>CHOOSE(MATCH(TS_Periodicity,LU_Periodicity,0),Yr_Name,"H","Q","M")</f>
        <v>Year</v>
      </c>
      <c r="K17" s="299"/>
    </row>
    <row r="18" spans="3:11" ht="10.5" hidden="1" customHeight="1" outlineLevel="2">
      <c r="D18" s="50" t="s">
        <v>356</v>
      </c>
      <c r="J18" s="299" t="b">
        <f>OR(AND(DD_TS_Fin_YE_Day&gt;=28,DD_TS_Fin_YE_Mth=2),
DD_TS_Fin_YE_Day&gt;=DAY(EOMONTH(DATE(YEAR(TS_Start_Date),DD_TS_Fin_YE_Mth,1),0)))</f>
        <v>1</v>
      </c>
      <c r="K18" s="299"/>
    </row>
    <row r="19" spans="3:11" ht="10.5" hidden="1" customHeight="1" outlineLevel="2">
      <c r="D19" s="50" t="s">
        <v>357</v>
      </c>
      <c r="J19" s="285">
        <f>IF(TS_Mth_End,DATE(YEAR(TS_Per_1_FY_End_Date)-IF(TS_Per_1_FY_End_Date=EOMONTH(DATE(YEAR(TS_Per_1_FY_End_Date),Mths_In_Yr,1),0),0,1),MOD(MONTH(TS_Per_1_FY_End_Date),Mths_In_Yr)+1,1),
EDATE(TS_Per_1_FY_End_Date,-Mths_In_Yr)+1)</f>
        <v>40179</v>
      </c>
      <c r="K19" s="285"/>
    </row>
    <row r="20" spans="3:11" ht="10.5" hidden="1" customHeight="1" outlineLevel="2">
      <c r="D20" s="50" t="s">
        <v>358</v>
      </c>
      <c r="J20" s="285">
        <f>IF(TS_Mth_End,EOMONTH(DATE(YEAR(TS_Start_Date)+IF(MONTH(TS_Start_Date)&gt;DD_TS_Fin_YE_Mth,1,0),DD_TS_Fin_YE_Mth,1),0),
DATE(YEAR(TS_Start_Date)+IF(TS_Start_Date&gt;DATE(YEAR(TS_Start_Date),DD_TS_Fin_YE_Mth,DD_TS_Fin_YE_Day),1,0),DD_TS_Fin_YE_Mth,DD_TS_Fin_YE_Day))</f>
        <v>40543</v>
      </c>
      <c r="K20" s="285"/>
    </row>
    <row r="21" spans="3:11" ht="10.5" hidden="1" customHeight="1" outlineLevel="2">
      <c r="D21" s="50" t="s">
        <v>347</v>
      </c>
      <c r="J21" s="284">
        <f>INDEX(LU_Pers_In_Yr,MATCH(TS_Periodicity,LU_Periodicity,0))</f>
        <v>1</v>
      </c>
      <c r="K21" s="284"/>
    </row>
    <row r="22" spans="3:11" ht="10.5" hidden="1" customHeight="1" outlineLevel="2">
      <c r="D22" s="50" t="s">
        <v>359</v>
      </c>
      <c r="J22" s="284">
        <f>Mths_In_Yr/TS_Pers_In_Yr</f>
        <v>12</v>
      </c>
      <c r="K22" s="284"/>
    </row>
    <row r="23" spans="3:11" ht="10.5" hidden="1" customHeight="1" outlineLevel="2">
      <c r="D23" s="50" t="s">
        <v>360</v>
      </c>
      <c r="J23" s="284">
        <f>INT((((YEAR(TS_Start_Date)-YEAR(TS_Per_1_FY_Start_Date))*Mths_In_Yr+MONTH(TS_Start_Date)-MONTH(TS_Per_1_FY_Start_Date)+1
+IF(TS_Mth_End,0,
IF(TS_Start_Date&gt;(EDATE(TS_Per_1_FY_Start_Date,(YEAR(TS_Start_Date)-YEAR(TS_Per_1_FY_Start_Date))*Mths_In_Yr+MONTH(TS_Start_Date)-MONTH(TS_Per_1_FY_Start_Date)+1)-1),1,0)
-IF(TS_Start_Date&lt;EDATE(TS_Per_1_FY_Start_Date,(YEAR(TS_Start_Date)-YEAR(TS_Per_1_FY_Start_Date))*Mths_In_Yr+MONTH(TS_Start_Date)-MONTH(TS_Per_1_FY_Start_Date)),1,0)))-1)/TS_Mths_In_Per)+1</f>
        <v>1</v>
      </c>
      <c r="K23" s="284"/>
    </row>
    <row r="24" spans="3:11" ht="10.5" hidden="1" customHeight="1" outlineLevel="2">
      <c r="D24" s="50" t="s">
        <v>361</v>
      </c>
      <c r="J24" s="285">
        <f>IF(TS_Mth_End,EOMONTH(EDATE(TS_Per_1_FY_Start_Date,(TS_Per_1_Number-1)*TS_Mths_In_Per-1),0)+1,
EDATE(TS_Per_1_FY_Start_Date,(TS_Per_1_Number-1)*TS_Mths_In_Per))</f>
        <v>40179</v>
      </c>
      <c r="K24" s="285"/>
    </row>
    <row r="25" spans="3:11" ht="10.5" hidden="1" customHeight="1" outlineLevel="2">
      <c r="D25" s="50" t="s">
        <v>187</v>
      </c>
      <c r="J25" s="285">
        <f>IF(TS_Mth_End,EOMONTH(EDATE(TS_Per_1_FY_Start_Date,TS_Per_1_Number*TS_Mths_In_Per-1),0),
EDATE(TS_Per_1_FY_Start_Date,TS_Per_1_Number*TS_Mths_In_Per)-1)</f>
        <v>40543</v>
      </c>
      <c r="K25" s="285"/>
    </row>
    <row r="26" spans="3:11" ht="15.75" customHeight="1" collapsed="1">
      <c r="D26" s="50" t="s">
        <v>88</v>
      </c>
      <c r="J26" s="288">
        <v>2</v>
      </c>
      <c r="K26" s="289"/>
    </row>
    <row r="27" spans="3:11" ht="10.5" hidden="1" customHeight="1" outlineLevel="2">
      <c r="D27" s="50" t="s">
        <v>362</v>
      </c>
      <c r="J27" s="287" t="str">
        <f>INDEX(LU_Denom,DD_TS_Denom)</f>
        <v>$Millions</v>
      </c>
      <c r="K27" s="287"/>
    </row>
    <row r="28" spans="3:11" collapsed="1"/>
    <row r="29" spans="3:11" ht="11.25">
      <c r="C29" s="49" t="s">
        <v>363</v>
      </c>
    </row>
    <row r="31" spans="3:11" ht="17.25" customHeight="1">
      <c r="D31" s="50" t="s">
        <v>364</v>
      </c>
      <c r="J31" s="288" t="b">
        <v>1</v>
      </c>
      <c r="K31" s="289"/>
    </row>
    <row r="32" spans="3:11">
      <c r="D32" s="50" t="s">
        <v>365</v>
      </c>
      <c r="J32" s="290">
        <v>0</v>
      </c>
      <c r="K32" s="291"/>
    </row>
    <row r="33" spans="3:11">
      <c r="D33" s="50" t="s">
        <v>366</v>
      </c>
      <c r="J33" s="290">
        <v>0</v>
      </c>
      <c r="K33" s="291"/>
    </row>
    <row r="34" spans="3:11" ht="10.5" hidden="1" customHeight="1" outlineLevel="2">
      <c r="D34" s="50" t="s">
        <v>367</v>
      </c>
      <c r="J34" s="292" t="s">
        <v>384</v>
      </c>
      <c r="K34" s="293"/>
    </row>
    <row r="35" spans="3:11" ht="10.5" hidden="1" customHeight="1" outlineLevel="2">
      <c r="D35" s="50" t="s">
        <v>368</v>
      </c>
      <c r="J35" s="292" t="s">
        <v>385</v>
      </c>
      <c r="K35" s="293"/>
    </row>
    <row r="36" spans="3:11" ht="10.5" hidden="1" customHeight="1" outlineLevel="2">
      <c r="D36" s="50" t="s">
        <v>369</v>
      </c>
      <c r="J36" s="292" t="s">
        <v>386</v>
      </c>
      <c r="K36" s="293"/>
    </row>
    <row r="37" spans="3:11" collapsed="1"/>
    <row r="38" spans="3:11" ht="11.25">
      <c r="C38" s="49" t="s">
        <v>370</v>
      </c>
    </row>
    <row r="40" spans="3:11" ht="15.75" customHeight="1">
      <c r="D40" s="50" t="s">
        <v>338</v>
      </c>
      <c r="J40" s="288">
        <v>1</v>
      </c>
      <c r="K40" s="289"/>
    </row>
    <row r="41" spans="3:11">
      <c r="D41" s="50" t="s">
        <v>371</v>
      </c>
      <c r="J41" s="290">
        <v>3</v>
      </c>
      <c r="K41" s="291"/>
    </row>
    <row r="42" spans="3:11">
      <c r="D42" s="50" t="s">
        <v>372</v>
      </c>
      <c r="J42" s="294">
        <v>41275</v>
      </c>
      <c r="K42" s="295"/>
    </row>
    <row r="43" spans="3:11" hidden="1" outlineLevel="2"/>
    <row r="44" spans="3:11" hidden="1" outlineLevel="2">
      <c r="D44" s="51" t="s">
        <v>373</v>
      </c>
    </row>
    <row r="45" spans="3:11" hidden="1" outlineLevel="2"/>
    <row r="46" spans="3:11" ht="10.5" hidden="1" customHeight="1" outlineLevel="2">
      <c r="E46" s="50" t="s">
        <v>374</v>
      </c>
      <c r="J46" s="285">
        <f>TS_Proj_Start_Date-1</f>
        <v>41274</v>
      </c>
      <c r="K46" s="285"/>
    </row>
    <row r="47" spans="3:11" ht="10.5" hidden="1" customHeight="1" outlineLevel="2">
      <c r="E47" s="50" t="s">
        <v>375</v>
      </c>
      <c r="J47" s="286">
        <f>IF(TS_Data_End_Date&lt;TS_Start_Date,0,
MAX(0,INT((((YEAR(TS_Data_End_Date)-YEAR(TS_Per_1_FY_Start_Date))*Mths_In_Yr+MONTH(TS_Data_End_Date)-MONTH(TS_Per_1_FY_Start_Date)+1
+IF(TS_Mth_End,0,
IF(TS_Data_End_Date&gt;(EDATE(TS_Per_1_FY_Start_Date,(YEAR(TS_Data_End_Date)-YEAR(TS_Per_1_FY_Start_Date))*Mths_In_Yr+MONTH(TS_Data_End_Date)-MONTH(TS_Per_1_FY_Start_Date)+1)-1),1,0)
-IF(TS_Data_End_Date&lt;EDATE(TS_Per_1_FY_Start_Date,(YEAR(TS_Data_End_Date)-YEAR(TS_Per_1_FY_Start_Date))*Mths_In_Yr+MONTH(TS_Data_End_Date)-MONTH(TS_Per_1_FY_Start_Date)),1,0)))
-1)/TS_Mths_In_Per)-TS_Per_1_Number+2))</f>
        <v>3</v>
      </c>
      <c r="K47" s="286"/>
    </row>
    <row r="48" spans="3:11" ht="10.5" hidden="1" customHeight="1" outlineLevel="2">
      <c r="E48" s="50" t="s">
        <v>376</v>
      </c>
      <c r="J48" s="284">
        <f>IF(TS_Data_Total_Pers=0,0,
TS_Data_Total_Pers-IF(TS_Data_End_Date&lt;&gt;IF(TS_Data_Total_Pers=1,TS_Per_1_End_Date,
IF(TS_Mth_End,EOMONTH(EDATE(TS_Per_1_FY_Start_Date,(TS_Per_1_Number+TS_Data_Total_Pers-1)*TS_Mths_In_Per-1),0),
EDATE(TS_Per_1_FY_Start_Date,(TS_Per_1_Number+TS_Data_Total_Pers-1)*TS_Mths_In_Per)-1)),1,0))</f>
        <v>3</v>
      </c>
      <c r="K48" s="284"/>
    </row>
    <row r="49" spans="3:11" ht="10.5" hidden="1" customHeight="1" outlineLevel="2">
      <c r="E49" s="50" t="s">
        <v>377</v>
      </c>
      <c r="J49" s="287" t="b">
        <f>IF(TS_Data_End_Date&lt;TS_Start_Date,FALSE,
IF(TS_Data_End_Date=TS_Per_1_End_Date,IF(TS_Start_Date&lt;&gt;TS_Per_1_Start_Date,TRUE,FALSE),
IF(TS_Data_End_Date&lt;TS_Per_1_End_Date,TRUE,
IF(TS_Data_End_Date&lt;&gt;IF(TS_Data_Total_Pers=1,TS_Per_1_End_Date,
IF(TS_Mth_End,EOMONTH(EDATE(TS_Per_1_FY_Start_Date,(TS_Per_1_Number+TS_Data_Total_Pers-1)*TS_Mths_In_Per-1),0),EDATE(TS_Per_1_FY_Start_Date,(TS_Per_1_Number+TS_Data_Total_Pers-1)*TS_Mths_In_Per)-1)),TRUE,FALSE))))</f>
        <v>0</v>
      </c>
      <c r="K49" s="287"/>
    </row>
    <row r="50" spans="3:11" hidden="1" outlineLevel="2"/>
    <row r="51" spans="3:11" hidden="1" outlineLevel="2">
      <c r="D51" s="51" t="s">
        <v>378</v>
      </c>
    </row>
    <row r="52" spans="3:11" hidden="1" outlineLevel="2"/>
    <row r="53" spans="3:11" ht="10.5" hidden="1" customHeight="1" outlineLevel="2">
      <c r="E53" s="50" t="s">
        <v>379</v>
      </c>
      <c r="J53" s="285">
        <f>IF(DD_TS_Data_Term_Basis=1,IF(TS_Mth_End,EOMONTH(EDATE(TS_Per_1_FY_Start_Date,(TS_Per_1_Number+TS_Data_Pers_Ass-1)*TS_Mths_In_Per-1),0),
EDATE(TS_Per_1_FY_Start_Date,(TS_Per_1_Number+TS_Data_Pers_Ass-1)*TS_Mths_In_Per)-1)+1,TS_Proj_Start_Date_Ass)</f>
        <v>41275</v>
      </c>
      <c r="K53" s="285"/>
    </row>
    <row r="54" spans="3:11" ht="10.5" hidden="1" customHeight="1" outlineLevel="2">
      <c r="E54" s="50" t="s">
        <v>357</v>
      </c>
      <c r="J54" s="285">
        <f>IF(TS_Mth_End,DATE(YEAR(TS_Proj_Per_1_FY_End_Date)-IF(TS_Proj_Per_1_FY_End_Date=EOMONTH(DATE(YEAR(TS_Proj_Per_1_FY_End_Date),Mths_In_Yr,1),0),0,1),MOD(MONTH(TS_Proj_Per_1_FY_End_Date),Mths_In_Yr)+1,1),
EDATE(TS_Proj_Per_1_FY_End_Date,-Mths_In_Yr)+1)</f>
        <v>41275</v>
      </c>
      <c r="K54" s="285"/>
    </row>
    <row r="55" spans="3:11" ht="10.5" hidden="1" customHeight="1" outlineLevel="2">
      <c r="E55" s="50" t="s">
        <v>358</v>
      </c>
      <c r="J55" s="285">
        <f>IF(TS_Mth_End,EOMONTH(DATE(YEAR(TS_Proj_Start_Date)+IF(MONTH(TS_Proj_Start_Date)&gt;DD_TS_Fin_YE_Mth,1,0),DD_TS_Fin_YE_Mth,1),0),
DATE(YEAR(TS_Proj_Start_Date)+IF(TS_Proj_Start_Date&gt;DATE(YEAR(TS_Proj_Start_Date),DD_TS_Fin_YE_Mth,DD_TS_Fin_YE_Day),1,0),DD_TS_Fin_YE_Mth,DD_TS_Fin_YE_Day))</f>
        <v>41639</v>
      </c>
      <c r="K55" s="285"/>
    </row>
    <row r="56" spans="3:11" ht="10.5" hidden="1" customHeight="1" outlineLevel="2">
      <c r="E56" s="50" t="s">
        <v>360</v>
      </c>
      <c r="J56" s="284">
        <f>INT((((YEAR(TS_Proj_Start_Date)-YEAR(TS_Proj_Per_1_FY_Start_Date))*Mths_In_Yr+MONTH(TS_Proj_Start_Date)-MONTH(TS_Proj_Per_1_FY_Start_Date)+1
+IF(TS_Mth_End,0,
IF(TS_Proj_Start_Date&gt;(EDATE(TS_Proj_Per_1_FY_Start_Date,(YEAR(TS_Proj_Start_Date)-YEAR(TS_Proj_Per_1_FY_Start_Date))*Mths_In_Yr+MONTH(TS_Proj_Start_Date)-MONTH(TS_Proj_Per_1_FY_Start_Date)+1)-1),1,0)
-IF(TS_Proj_Start_Date&lt;EDATE(TS_Proj_Per_1_FY_Start_Date,(YEAR(TS_Proj_Start_Date)-YEAR(TS_Proj_Per_1_FY_Start_Date))*Mths_In_Yr+MONTH(TS_Proj_Start_Date)-MONTH(TS_Proj_Per_1_FY_Start_Date)),1,0)))
-1)/TS_Mths_In_Per)+1</f>
        <v>1</v>
      </c>
      <c r="K56" s="284"/>
    </row>
    <row r="57" spans="3:11" ht="10.5" hidden="1" customHeight="1" outlineLevel="2">
      <c r="E57" s="50" t="s">
        <v>361</v>
      </c>
      <c r="J57" s="285">
        <f>IF(TS_Mth_End,EOMONTH(EDATE(TS_Proj_Per_1_FY_Start_Date,(TS_Proj_Per_1_Number-1)*TS_Mths_In_Per-1),0)+
1,EDATE(TS_Proj_Per_1_FY_Start_Date,(TS_Proj_Per_1_Number-1)*TS_Mths_In_Per))</f>
        <v>41275</v>
      </c>
      <c r="K57" s="285"/>
    </row>
    <row r="58" spans="3:11" ht="10.5" hidden="1" customHeight="1" outlineLevel="2">
      <c r="E58" s="50" t="s">
        <v>187</v>
      </c>
      <c r="J58" s="285">
        <f>IF(TS_Mth_End,EOMONTH(EDATE(TS_Proj_Per_1_FY_Start_Date,TS_Proj_Per_1_Number*TS_Mths_In_Per-1),0),
EDATE(TS_Proj_Per_1_FY_Start_Date,TS_Proj_Per_1_Number*TS_Mths_In_Per)-1)</f>
        <v>41639</v>
      </c>
      <c r="K58" s="285"/>
    </row>
    <row r="59" spans="3:11" collapsed="1"/>
    <row r="60" spans="3:11">
      <c r="C60" s="51" t="s">
        <v>204</v>
      </c>
    </row>
    <row r="61" spans="3:11">
      <c r="C61" s="52" t="s">
        <v>203</v>
      </c>
      <c r="D61" s="50" t="s">
        <v>380</v>
      </c>
    </row>
    <row r="62" spans="3:11">
      <c r="C62" s="52" t="s">
        <v>203</v>
      </c>
      <c r="D62" s="50" t="s">
        <v>381</v>
      </c>
    </row>
    <row r="63" spans="3:11">
      <c r="C63" s="52" t="s">
        <v>203</v>
      </c>
      <c r="D63" s="50" t="s">
        <v>382</v>
      </c>
    </row>
    <row r="64" spans="3:11">
      <c r="C64" s="52" t="s">
        <v>203</v>
      </c>
      <c r="D64" s="53" t="s">
        <v>383</v>
      </c>
    </row>
    <row r="65" spans="3:4">
      <c r="C65" s="52" t="s">
        <v>203</v>
      </c>
      <c r="D65" s="53" t="s">
        <v>538</v>
      </c>
    </row>
  </sheetData>
  <mergeCells count="36">
    <mergeCell ref="B3:F3"/>
    <mergeCell ref="J11:K11"/>
    <mergeCell ref="J12:K12"/>
    <mergeCell ref="J25:K25"/>
    <mergeCell ref="J14:K14"/>
    <mergeCell ref="J15:K15"/>
    <mergeCell ref="J16:K16"/>
    <mergeCell ref="J17:K17"/>
    <mergeCell ref="J18:K18"/>
    <mergeCell ref="J19:K19"/>
    <mergeCell ref="J20:K20"/>
    <mergeCell ref="J21:K21"/>
    <mergeCell ref="J22:K22"/>
    <mergeCell ref="J23:K23"/>
    <mergeCell ref="J24:K24"/>
    <mergeCell ref="J46:K46"/>
    <mergeCell ref="J26:K26"/>
    <mergeCell ref="J27:K27"/>
    <mergeCell ref="J31:K31"/>
    <mergeCell ref="J32:K32"/>
    <mergeCell ref="J33:K33"/>
    <mergeCell ref="J34:K34"/>
    <mergeCell ref="J35:K35"/>
    <mergeCell ref="J36:K36"/>
    <mergeCell ref="J40:K40"/>
    <mergeCell ref="J41:K41"/>
    <mergeCell ref="J42:K42"/>
    <mergeCell ref="J56:K56"/>
    <mergeCell ref="J57:K57"/>
    <mergeCell ref="J58:K58"/>
    <mergeCell ref="J47:K47"/>
    <mergeCell ref="J48:K48"/>
    <mergeCell ref="J49:K49"/>
    <mergeCell ref="J53:K53"/>
    <mergeCell ref="J54:K54"/>
    <mergeCell ref="J55:K55"/>
  </mergeCells>
  <conditionalFormatting sqref="J32">
    <cfRule type="expression" dxfId="67" priority="1" stopIfTrue="1">
      <formula>NOT(J$31)</formula>
    </cfRule>
  </conditionalFormatting>
  <conditionalFormatting sqref="J33">
    <cfRule type="expression" dxfId="66" priority="2" stopIfTrue="1">
      <formula>NOT(J$31)</formula>
    </cfRule>
  </conditionalFormatting>
  <conditionalFormatting sqref="J34">
    <cfRule type="expression" dxfId="65" priority="3" stopIfTrue="1">
      <formula>NOT(J$31)</formula>
    </cfRule>
  </conditionalFormatting>
  <conditionalFormatting sqref="J35">
    <cfRule type="expression" dxfId="64" priority="4" stopIfTrue="1">
      <formula>NOT(J$31)</formula>
    </cfRule>
  </conditionalFormatting>
  <conditionalFormatting sqref="J36">
    <cfRule type="expression" dxfId="63" priority="5" stopIfTrue="1">
      <formula>NOT(J$31)</formula>
    </cfRule>
  </conditionalFormatting>
  <conditionalFormatting sqref="J41">
    <cfRule type="expression" dxfId="62" priority="6" stopIfTrue="1">
      <formula>DD_TS_Data_Term_Basis&lt;&gt;1</formula>
    </cfRule>
  </conditionalFormatting>
  <conditionalFormatting sqref="J42">
    <cfRule type="expression" dxfId="61" priority="7" stopIfTrue="1">
      <formula>DD_TS_Data_Term_Basis&lt;&gt;2</formula>
    </cfRule>
    <cfRule type="cellIs" dxfId="60" priority="8" stopIfTrue="1" operator="lessThan">
      <formula>TS_Start_Date</formula>
    </cfRule>
  </conditionalFormatting>
  <dataValidations count="11">
    <dataValidation type="whole" showDropDown="1" showErrorMessage="1" errorTitle="0 Cell Link" error="The value in a 0 cell link must be a whole number within the control's lookup range rows." sqref="J13">
      <formula1>1</formula1>
      <formula2>ROWS(LU_Mth_Days )</formula2>
    </dataValidation>
    <dataValidation type="whole" showDropDown="1" showErrorMessage="1" errorTitle="0 Cell Link" error="The value in a 0 cell link must be a whole number within the control's lookup range rows." sqref="K13">
      <formula1>1</formula1>
      <formula2>ROWS(LU_Mth_Names )</formula2>
    </dataValidation>
    <dataValidation type="date" showDropDown="1" showInputMessage="1" showErrorMessage="1" errorTitle="Start Date" error="The entered start date assumption must be a valid date. For assistance, search for &quot;Date&quot; in Excel Help." promptTitle="Start Date" prompt="Enter the start date assumption here." sqref="J14">
      <formula1>1</formula1>
      <formula2>2862773</formula2>
    </dataValidation>
    <dataValidation type="whole" showDropDown="1" showErrorMessage="1" errorTitle="Periods" error="The entered number of periods must be a whole number between 1 and 249." sqref="J15">
      <formula1>1</formula1>
      <formula2>249</formula2>
    </dataValidation>
    <dataValidation type="whole" showDropDown="1" showErrorMessage="1" errorTitle="0 Cell Link" error="The value in a 0 cell link must be a whole number within the control's lookup range rows." sqref="J26">
      <formula1>1</formula1>
      <formula2>ROWS(LU_Denom )</formula2>
    </dataValidation>
    <dataValidation type="custom" showDropDown="1" showErrorMessage="1" errorTitle="6 Cell Link" error="The value in an option button cell link must be either &quot;TRUE&quot; or &quot;FALSE&quot;" sqref="J31">
      <formula1>ISLOGICAL(J31)</formula1>
    </dataValidation>
    <dataValidation type="whole" operator="greaterThanOrEqual" showDropDown="1" showErrorMessage="1" errorTitle="Invalid Assumption" error="Assumption must be a whole number greater than or equal to zero." sqref="J32">
      <formula1>0</formula1>
    </dataValidation>
    <dataValidation type="whole" operator="greaterThanOrEqual" showDropDown="1" showErrorMessage="1" errorTitle="Invalid Assumption" error="Assumption must be a whole number greater than or equal to zero." sqref="J33">
      <formula1>0</formula1>
    </dataValidation>
    <dataValidation type="whole" showDropDown="1" showErrorMessage="1" errorTitle="0 Cell Link" error="The value in a 0 cell link must be a whole number within the control's lookup range rows." sqref="J40">
      <formula1>1</formula1>
      <formula2>ROWS(LU_Data_Term_Basis )</formula2>
    </dataValidation>
    <dataValidation type="whole" operator="greaterThanOrEqual" showDropDown="1" showErrorMessage="1" errorTitle="Invalid Assumption" error="Assumption must be a whole number greater than or equal to zero." sqref="J41">
      <formula1>0</formula1>
    </dataValidation>
    <dataValidation type="custom" showErrorMessage="1" errorTitle="Invalid Assumption" error="Assumption must be a number." sqref="J42">
      <formula1>NOT(ISERROR(J42/1))</formula1>
    </dataValidation>
  </dataValidations>
  <hyperlinks>
    <hyperlink ref="B3" location="HL_Home" tooltip="Go to Table of Contents" display="HL_Home"/>
    <hyperlink ref="A4" location="$B$5" tooltip="Go to Top of Sheet" display="$B$5"/>
    <hyperlink ref="B4" location="HL_Sheet_Main_4" tooltip="Go to Previous Sheet" display="HL_Sheet_Main_4"/>
    <hyperlink ref="C4" location="HL_Sheet_Main_5" tooltip="Go to Next Sheet" display="HL_Sheet_Main_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 r:id="rId2"/>
  <legacyDrawingHF r:id="rId3"/>
</worksheet>
</file>

<file path=xl/worksheets/sheet12.xml><?xml version="1.0" encoding="utf-8"?>
<worksheet xmlns="http://schemas.openxmlformats.org/spreadsheetml/2006/main" xmlns:r="http://schemas.openxmlformats.org/officeDocument/2006/relationships">
  <sheetPr codeName="Sheet11">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514</v>
      </c>
    </row>
    <row r="10" spans="3:7" ht="16.5">
      <c r="C10" s="28" t="s">
        <v>522</v>
      </c>
    </row>
    <row r="11" spans="3:7" ht="15">
      <c r="C11" s="2" t="str">
        <f>Model_Name</f>
        <v>SMA 8. Calculation Formulae - Best Practice Model Example</v>
      </c>
    </row>
    <row r="12" spans="3:7">
      <c r="C12" s="245" t="s">
        <v>49</v>
      </c>
      <c r="D12" s="245"/>
      <c r="E12" s="245"/>
      <c r="F12" s="245"/>
      <c r="G12" s="245"/>
    </row>
    <row r="13" spans="3:7" ht="12.75">
      <c r="C13" s="12" t="s">
        <v>54</v>
      </c>
      <c r="D13" s="13" t="s">
        <v>103</v>
      </c>
    </row>
    <row r="17" spans="3:3">
      <c r="C17" s="26" t="s">
        <v>512</v>
      </c>
    </row>
    <row r="18" spans="3:3">
      <c r="C18" s="188" t="s">
        <v>515</v>
      </c>
    </row>
    <row r="19" spans="3:3">
      <c r="C19" s="188"/>
    </row>
    <row r="20" spans="3:3">
      <c r="C20" s="188"/>
    </row>
  </sheetData>
  <mergeCells count="1">
    <mergeCell ref="C12:G12"/>
  </mergeCells>
  <hyperlinks>
    <hyperlink ref="C12" location="HL_Home" tooltip="Go to Table of Contents" display="HL_Home"/>
    <hyperlink ref="C13" location="HL_Sheet_Main_10" tooltip="Go to Previous Sheet" display="HL_Sheet_Main_10"/>
    <hyperlink ref="D13" location="HL_Sheet_Main_12" tooltip="Go to Next Sheet" display="HL_Sheet_Main_12"/>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3.xml><?xml version="1.0" encoding="utf-8"?>
<worksheet xmlns="http://schemas.openxmlformats.org/spreadsheetml/2006/main" xmlns:r="http://schemas.openxmlformats.org/officeDocument/2006/relationships">
  <sheetPr codeName="Sheet12">
    <pageSetUpPr autoPageBreaks="0"/>
  </sheetPr>
  <dimension ref="A1:Q132"/>
  <sheetViews>
    <sheetView showGridLines="0" zoomScaleNormal="100" workbookViewId="0">
      <pane xSplit="1" ySplit="13" topLeftCell="B14" activePane="bottomRight" state="frozen"/>
      <selection activeCell="Q57" sqref="Q57"/>
      <selection pane="topRight" activeCell="Q57" sqref="Q57"/>
      <selection pane="bottomLeft" activeCell="Q57" sqref="Q57"/>
      <selection pane="bottomRight"/>
    </sheetView>
  </sheetViews>
  <sheetFormatPr defaultRowHeight="10.5" outlineLevelRow="2"/>
  <cols>
    <col min="1" max="5" width="3.83203125" style="21" customWidth="1"/>
    <col min="6" max="254" width="11.83203125" style="21" customWidth="1"/>
    <col min="255" max="16384" width="9.33203125" style="21"/>
  </cols>
  <sheetData>
    <row r="1" spans="1:17" ht="18">
      <c r="B1" s="43" t="s">
        <v>397</v>
      </c>
    </row>
    <row r="2" spans="1:17" ht="15">
      <c r="B2" s="42" t="str">
        <f>Model_Name</f>
        <v>SMA 8. Calculation Formulae - Best Practice Model Example</v>
      </c>
    </row>
    <row r="3" spans="1:17">
      <c r="B3" s="296" t="s">
        <v>49</v>
      </c>
      <c r="C3" s="296"/>
      <c r="D3" s="296"/>
      <c r="E3" s="296"/>
      <c r="F3" s="296"/>
    </row>
    <row r="4" spans="1:17" ht="12.75">
      <c r="A4" s="44" t="s">
        <v>52</v>
      </c>
      <c r="B4" s="45" t="s">
        <v>54</v>
      </c>
      <c r="C4" s="46" t="s">
        <v>103</v>
      </c>
      <c r="D4" s="84" t="s">
        <v>206</v>
      </c>
      <c r="E4" s="84" t="s">
        <v>207</v>
      </c>
      <c r="F4" s="47" t="s">
        <v>208</v>
      </c>
    </row>
    <row r="6" spans="1:17">
      <c r="B6" s="55" t="str">
        <f>IF(TS_Pers_In_Yr=1,"",TS_Per_Type_Name&amp;" Ending")</f>
        <v/>
      </c>
      <c r="J6" s="56" t="str">
        <f t="shared" ref="J6:Q6" si="0">IF(TS_Pers_In_Yr=1,"",LEFT(INDEX(LU_Mth_Names,MONTH(J9)),3)&amp;"-"&amp;RIGHT(YEAR(J9),2))&amp;" "</f>
        <v xml:space="preserve"> </v>
      </c>
      <c r="K6" s="56" t="str">
        <f t="shared" si="0"/>
        <v xml:space="preserve"> </v>
      </c>
      <c r="L6" s="56" t="str">
        <f t="shared" si="0"/>
        <v xml:space="preserve"> </v>
      </c>
      <c r="M6" s="56" t="str">
        <f t="shared" si="0"/>
        <v xml:space="preserve"> </v>
      </c>
      <c r="N6" s="56" t="str">
        <f t="shared" si="0"/>
        <v xml:space="preserve"> </v>
      </c>
      <c r="O6" s="56" t="str">
        <f t="shared" si="0"/>
        <v xml:space="preserve"> </v>
      </c>
      <c r="P6" s="56" t="str">
        <f t="shared" si="0"/>
        <v xml:space="preserve"> </v>
      </c>
      <c r="Q6" s="56" t="str">
        <f t="shared" si="0"/>
        <v xml:space="preserve"> </v>
      </c>
    </row>
    <row r="7" spans="1:17">
      <c r="B7" s="61" t="str">
        <f>IF(TS_Pers_In_Yr=1,Yr_Name&amp;" Ending "&amp;DAY(TS_Per_1_End_Date)&amp;" "&amp;INDEX(LU_Mth_Names,DD_TS_Fin_YE_Mth),TS_Per_Type_Name)</f>
        <v>Year Ending 31 December</v>
      </c>
      <c r="C7" s="23"/>
      <c r="D7" s="23"/>
      <c r="E7" s="23"/>
      <c r="F7" s="23"/>
      <c r="G7" s="23"/>
      <c r="H7" s="23"/>
      <c r="I7" s="23"/>
      <c r="J7" s="62" t="str">
        <f t="shared" ref="J7:Q7" si="1">IF(TS_Pers_In_Yr=1,J10&amp;" ",J11)&amp;IF(CB_TS_Show_Hist_Fcast_Pers,IF(J12&lt;=TS_Actual_Pers,TS_Actual_Per_Title,
IF(J12&lt;=TS_Actual_Pers+TS_Budget_Pers,TS_Budget_Per_Title,TS_Fcast_Per_Title))&amp;" ","")</f>
        <v xml:space="preserve">2010 (F) </v>
      </c>
      <c r="K7" s="62" t="str">
        <f t="shared" si="1"/>
        <v xml:space="preserve">2011 (F) </v>
      </c>
      <c r="L7" s="62" t="str">
        <f t="shared" si="1"/>
        <v xml:space="preserve">2012 (F) </v>
      </c>
      <c r="M7" s="62" t="str">
        <f t="shared" si="1"/>
        <v xml:space="preserve">2013 (F) </v>
      </c>
      <c r="N7" s="62" t="str">
        <f t="shared" si="1"/>
        <v xml:space="preserve">2014 (F) </v>
      </c>
      <c r="O7" s="62" t="str">
        <f t="shared" si="1"/>
        <v xml:space="preserve">2015 (F) </v>
      </c>
      <c r="P7" s="62" t="str">
        <f t="shared" si="1"/>
        <v xml:space="preserve">2016 (F) </v>
      </c>
      <c r="Q7" s="62" t="str">
        <f t="shared" si="1"/>
        <v xml:space="preserve">2017 (F) </v>
      </c>
    </row>
    <row r="8" spans="1:17" hidden="1" outlineLevel="2">
      <c r="B8" s="50" t="s">
        <v>223</v>
      </c>
      <c r="J8" s="57">
        <f t="shared" ref="J8:Q8" si="2">IF(J12=1,TS_Start_Date,I9+1)</f>
        <v>40179</v>
      </c>
      <c r="K8" s="57">
        <f t="shared" si="2"/>
        <v>40544</v>
      </c>
      <c r="L8" s="57">
        <f t="shared" si="2"/>
        <v>40909</v>
      </c>
      <c r="M8" s="57">
        <f t="shared" si="2"/>
        <v>41275</v>
      </c>
      <c r="N8" s="57">
        <f t="shared" si="2"/>
        <v>41640</v>
      </c>
      <c r="O8" s="57">
        <f t="shared" si="2"/>
        <v>42005</v>
      </c>
      <c r="P8" s="57">
        <f t="shared" si="2"/>
        <v>42370</v>
      </c>
      <c r="Q8" s="57">
        <f t="shared" si="2"/>
        <v>42736</v>
      </c>
    </row>
    <row r="9" spans="1:17" hidden="1" outlineLevel="2">
      <c r="B9" s="50" t="s">
        <v>224</v>
      </c>
      <c r="J9" s="57">
        <f t="shared" ref="J9:Q9" si="3">IF(J12=1,TS_Per_1_End_Date,
IF(TS_Mth_End,EOMONTH(EDATE(TS_Per_1_FY_Start_Date,(TS_Per_1_Number+J12-1)*TS_Mths_In_Per-1),0),
EDATE(TS_Per_1_FY_Start_Date,(TS_Per_1_Number+J12-1)*TS_Mths_In_Per)-1))</f>
        <v>40543</v>
      </c>
      <c r="K9" s="57">
        <f t="shared" si="3"/>
        <v>40908</v>
      </c>
      <c r="L9" s="57">
        <f t="shared" si="3"/>
        <v>41274</v>
      </c>
      <c r="M9" s="57">
        <f t="shared" si="3"/>
        <v>41639</v>
      </c>
      <c r="N9" s="57">
        <f t="shared" si="3"/>
        <v>42004</v>
      </c>
      <c r="O9" s="57">
        <f t="shared" si="3"/>
        <v>42369</v>
      </c>
      <c r="P9" s="57">
        <f t="shared" si="3"/>
        <v>42735</v>
      </c>
      <c r="Q9" s="57">
        <f t="shared" si="3"/>
        <v>43100</v>
      </c>
    </row>
    <row r="10" spans="1:17" hidden="1" outlineLevel="2">
      <c r="B10" s="50" t="s">
        <v>221</v>
      </c>
      <c r="J10" s="58">
        <f t="shared" ref="J10:Q10" si="4">YEAR(TS_Per_1_FY_End_Date)+INT((TS_Per_1_Number+J12-2)/TS_Pers_In_Yr)</f>
        <v>2010</v>
      </c>
      <c r="K10" s="58">
        <f t="shared" si="4"/>
        <v>2011</v>
      </c>
      <c r="L10" s="58">
        <f t="shared" si="4"/>
        <v>2012</v>
      </c>
      <c r="M10" s="58">
        <f t="shared" si="4"/>
        <v>2013</v>
      </c>
      <c r="N10" s="58">
        <f t="shared" si="4"/>
        <v>2014</v>
      </c>
      <c r="O10" s="58">
        <f t="shared" si="4"/>
        <v>2015</v>
      </c>
      <c r="P10" s="58">
        <f t="shared" si="4"/>
        <v>2016</v>
      </c>
      <c r="Q10" s="58">
        <f t="shared" si="4"/>
        <v>2017</v>
      </c>
    </row>
    <row r="11" spans="1:17" hidden="1" outlineLevel="2">
      <c r="B11" s="50" t="s">
        <v>222</v>
      </c>
      <c r="J11" s="59" t="str">
        <f t="shared" ref="J11:Q11" si="5">IF(TS_Pers_In_Yr=1,Yr_Name,TS_Per_Type_Prefix&amp;IF(MOD(TS_Per_1_Number+J12-1,TS_Pers_In_Yr)=0,TS_Pers_In_Yr,MOD(TS_Per_1_Number+J12-1,TS_Pers_In_Yr)))&amp;" "</f>
        <v xml:space="preserve">Year </v>
      </c>
      <c r="K11" s="59" t="str">
        <f t="shared" si="5"/>
        <v xml:space="preserve">Year </v>
      </c>
      <c r="L11" s="59" t="str">
        <f t="shared" si="5"/>
        <v xml:space="preserve">Year </v>
      </c>
      <c r="M11" s="59" t="str">
        <f t="shared" si="5"/>
        <v xml:space="preserve">Year </v>
      </c>
      <c r="N11" s="59" t="str">
        <f t="shared" si="5"/>
        <v xml:space="preserve">Year </v>
      </c>
      <c r="O11" s="59" t="str">
        <f t="shared" si="5"/>
        <v xml:space="preserve">Year </v>
      </c>
      <c r="P11" s="59" t="str">
        <f t="shared" si="5"/>
        <v xml:space="preserve">Year </v>
      </c>
      <c r="Q11" s="59" t="str">
        <f t="shared" si="5"/>
        <v xml:space="preserve">Year </v>
      </c>
    </row>
    <row r="12" spans="1:17" hidden="1" outlineLevel="2">
      <c r="B12" s="50" t="s">
        <v>225</v>
      </c>
      <c r="J12" s="60">
        <f>COLUMN(J12)-COLUMN($J12)+1</f>
        <v>1</v>
      </c>
      <c r="K12" s="60">
        <f t="shared" ref="K12:Q12" si="6">COLUMN(K12)-COLUMN($J12)+1</f>
        <v>2</v>
      </c>
      <c r="L12" s="60">
        <f t="shared" si="6"/>
        <v>3</v>
      </c>
      <c r="M12" s="60">
        <f t="shared" si="6"/>
        <v>4</v>
      </c>
      <c r="N12" s="60">
        <f t="shared" si="6"/>
        <v>5</v>
      </c>
      <c r="O12" s="60">
        <f t="shared" si="6"/>
        <v>6</v>
      </c>
      <c r="P12" s="60">
        <f t="shared" si="6"/>
        <v>7</v>
      </c>
      <c r="Q12" s="60">
        <f t="shared" si="6"/>
        <v>8</v>
      </c>
    </row>
    <row r="13" spans="1:17" hidden="1" outlineLevel="2">
      <c r="B13" s="63" t="s">
        <v>388</v>
      </c>
      <c r="C13" s="23"/>
      <c r="D13" s="23"/>
      <c r="E13" s="23"/>
      <c r="F13" s="23"/>
      <c r="G13" s="23"/>
      <c r="H13" s="23"/>
      <c r="I13" s="23"/>
      <c r="J13" s="64" t="str">
        <f>J10&amp;"-"&amp;J11</f>
        <v xml:space="preserve">2010-Year </v>
      </c>
      <c r="K13" s="64" t="str">
        <f t="shared" ref="K13:Q13" si="7">K10&amp;"-"&amp;K11</f>
        <v xml:space="preserve">2011-Year </v>
      </c>
      <c r="L13" s="64" t="str">
        <f t="shared" si="7"/>
        <v xml:space="preserve">2012-Year </v>
      </c>
      <c r="M13" s="64" t="str">
        <f t="shared" si="7"/>
        <v xml:space="preserve">2013-Year </v>
      </c>
      <c r="N13" s="64" t="str">
        <f t="shared" si="7"/>
        <v xml:space="preserve">2014-Year </v>
      </c>
      <c r="O13" s="64" t="str">
        <f t="shared" si="7"/>
        <v xml:space="preserve">2015-Year </v>
      </c>
      <c r="P13" s="64" t="str">
        <f t="shared" si="7"/>
        <v xml:space="preserve">2016-Year </v>
      </c>
      <c r="Q13" s="64" t="str">
        <f t="shared" si="7"/>
        <v xml:space="preserve">2017-Year </v>
      </c>
    </row>
    <row r="14" spans="1:17" collapsed="1"/>
    <row r="16" spans="1:17" s="19" customFormat="1" ht="12.75" customHeight="1">
      <c r="B16" s="120" t="s">
        <v>402</v>
      </c>
      <c r="J16" s="177"/>
    </row>
    <row r="17" spans="2:17" s="19" customFormat="1" ht="11.25" thickBot="1">
      <c r="J17" s="180" t="s">
        <v>393</v>
      </c>
      <c r="K17" s="181" t="s">
        <v>470</v>
      </c>
    </row>
    <row r="18" spans="2:17" s="177" customFormat="1">
      <c r="C18" s="70" t="s">
        <v>226</v>
      </c>
      <c r="J18" s="69">
        <v>125</v>
      </c>
      <c r="K18" s="68">
        <v>2.5000000000000001E-2</v>
      </c>
      <c r="L18" s="67">
        <v>2.5000000000000001E-2</v>
      </c>
      <c r="M18" s="67">
        <v>2.5000000000000001E-2</v>
      </c>
      <c r="N18" s="67">
        <v>2.5000000000000001E-2</v>
      </c>
      <c r="O18" s="67">
        <v>2.5000000000000001E-2</v>
      </c>
      <c r="P18" s="67">
        <v>2.5000000000000001E-2</v>
      </c>
      <c r="Q18" s="67">
        <v>2.5000000000000001E-2</v>
      </c>
    </row>
    <row r="19" spans="2:17" s="177" customFormat="1">
      <c r="C19" s="70" t="s">
        <v>469</v>
      </c>
      <c r="J19" s="69">
        <v>25</v>
      </c>
      <c r="K19" s="68">
        <v>2.5000000000000001E-2</v>
      </c>
      <c r="L19" s="67">
        <v>2.5000000000000001E-2</v>
      </c>
      <c r="M19" s="67">
        <v>2.5000000000000001E-2</v>
      </c>
      <c r="N19" s="67">
        <v>2.5000000000000001E-2</v>
      </c>
      <c r="O19" s="67">
        <v>2.5000000000000001E-2</v>
      </c>
      <c r="P19" s="67">
        <v>2.5000000000000001E-2</v>
      </c>
      <c r="Q19" s="67">
        <v>2.5000000000000001E-2</v>
      </c>
    </row>
    <row r="20" spans="2:17" s="177" customFormat="1">
      <c r="C20" s="70" t="s">
        <v>238</v>
      </c>
      <c r="J20" s="69">
        <v>40</v>
      </c>
      <c r="K20" s="68">
        <v>2.5000000000000001E-2</v>
      </c>
      <c r="L20" s="67">
        <v>2.5000000000000001E-2</v>
      </c>
      <c r="M20" s="67">
        <v>2.5000000000000001E-2</v>
      </c>
      <c r="N20" s="67">
        <v>2.5000000000000001E-2</v>
      </c>
      <c r="O20" s="67">
        <v>2.5000000000000001E-2</v>
      </c>
      <c r="P20" s="67">
        <v>2.5000000000000001E-2</v>
      </c>
      <c r="Q20" s="67">
        <v>2.5000000000000001E-2</v>
      </c>
    </row>
    <row r="21" spans="2:17" s="177" customFormat="1">
      <c r="C21" s="70" t="s">
        <v>478</v>
      </c>
      <c r="J21" s="69">
        <v>15</v>
      </c>
      <c r="K21" s="68">
        <v>2.5000000000000001E-2</v>
      </c>
      <c r="L21" s="67">
        <v>2.5000000000000001E-2</v>
      </c>
      <c r="M21" s="67">
        <v>2.5000000000000001E-2</v>
      </c>
      <c r="N21" s="67">
        <v>2.5000000000000001E-2</v>
      </c>
      <c r="O21" s="67">
        <v>2.5000000000000001E-2</v>
      </c>
      <c r="P21" s="67">
        <v>2.5000000000000001E-2</v>
      </c>
      <c r="Q21" s="67">
        <v>2.5000000000000001E-2</v>
      </c>
    </row>
    <row r="22" spans="2:17" s="177" customFormat="1">
      <c r="C22" s="70" t="s">
        <v>479</v>
      </c>
      <c r="J22" s="69">
        <v>2.5</v>
      </c>
      <c r="K22" s="68">
        <v>2.5000000000000001E-2</v>
      </c>
      <c r="L22" s="67">
        <v>2.5000000000000001E-2</v>
      </c>
      <c r="M22" s="67">
        <v>2.5000000000000001E-2</v>
      </c>
      <c r="N22" s="67">
        <v>2.5000000000000001E-2</v>
      </c>
      <c r="O22" s="67">
        <v>2.5000000000000001E-2</v>
      </c>
      <c r="P22" s="67">
        <v>2.5000000000000001E-2</v>
      </c>
      <c r="Q22" s="67">
        <v>2.5000000000000001E-2</v>
      </c>
    </row>
    <row r="23" spans="2:17" s="177" customFormat="1"/>
    <row r="24" spans="2:17" s="19" customFormat="1">
      <c r="C24" s="66" t="s">
        <v>204</v>
      </c>
    </row>
    <row r="25" spans="2:17" s="197" customFormat="1">
      <c r="C25" s="86">
        <v>1</v>
      </c>
      <c r="D25" s="137" t="str">
        <f>"Revenue and expense base amount assumptions are specified in "&amp;INDEX(LU_Denom,DD_TS_Denom)&amp;"."</f>
        <v>Revenue and expense base amount assumptions are specified in $Millions.</v>
      </c>
    </row>
    <row r="26" spans="2:17" s="19" customFormat="1">
      <c r="C26" s="86">
        <v>2</v>
      </c>
      <c r="D26" s="70" t="s">
        <v>473</v>
      </c>
    </row>
    <row r="27" spans="2:17" s="19" customFormat="1"/>
    <row r="29" spans="2:17" ht="12.75">
      <c r="B29" s="120" t="s">
        <v>403</v>
      </c>
    </row>
    <row r="30" spans="2:17" ht="11.25" thickBot="1">
      <c r="I30" s="180" t="s">
        <v>471</v>
      </c>
      <c r="J30" s="66" t="s">
        <v>472</v>
      </c>
      <c r="K30" s="177"/>
    </row>
    <row r="31" spans="2:17">
      <c r="C31" s="70" t="s">
        <v>300</v>
      </c>
      <c r="I31" s="69">
        <v>21</v>
      </c>
      <c r="J31" s="87">
        <v>30</v>
      </c>
      <c r="K31" s="87">
        <v>30</v>
      </c>
      <c r="L31" s="87">
        <v>30</v>
      </c>
      <c r="M31" s="87">
        <v>30</v>
      </c>
      <c r="N31" s="87">
        <v>30</v>
      </c>
      <c r="O31" s="87">
        <v>30</v>
      </c>
      <c r="P31" s="87">
        <v>30</v>
      </c>
      <c r="Q31" s="87">
        <v>30</v>
      </c>
    </row>
    <row r="32" spans="2:17">
      <c r="C32" s="70" t="s">
        <v>301</v>
      </c>
      <c r="I32" s="69">
        <v>16</v>
      </c>
      <c r="J32" s="87">
        <v>45</v>
      </c>
      <c r="K32" s="87">
        <v>45</v>
      </c>
      <c r="L32" s="87">
        <v>45</v>
      </c>
      <c r="M32" s="87">
        <v>45</v>
      </c>
      <c r="N32" s="87">
        <v>45</v>
      </c>
      <c r="O32" s="87">
        <v>45</v>
      </c>
      <c r="P32" s="87">
        <v>45</v>
      </c>
      <c r="Q32" s="87">
        <v>45</v>
      </c>
    </row>
    <row r="33" spans="2:17">
      <c r="J33" s="177"/>
    </row>
    <row r="34" spans="2:17" s="197" customFormat="1">
      <c r="C34" s="70" t="s">
        <v>539</v>
      </c>
      <c r="I34" s="199">
        <f>IF(ISERROR(SUM(J34:Q34)),1,MIN(SUM(J34:Q34),1))</f>
        <v>0</v>
      </c>
      <c r="J34" s="200">
        <f>IF(ISERROR(SUM(J31:J32)),1,IF(MAX(J31:J32)&gt;J$9-J$8+1,1,0))</f>
        <v>0</v>
      </c>
      <c r="K34" s="200">
        <f t="shared" ref="K34:Q34" si="8">IF(ISERROR(SUM(K31:K32)),1,IF(MAX(K31:K32)&gt;K$9-K$8+1,1,0))</f>
        <v>0</v>
      </c>
      <c r="L34" s="200">
        <f t="shared" si="8"/>
        <v>0</v>
      </c>
      <c r="M34" s="200">
        <f t="shared" si="8"/>
        <v>0</v>
      </c>
      <c r="N34" s="200">
        <f t="shared" si="8"/>
        <v>0</v>
      </c>
      <c r="O34" s="200">
        <f t="shared" si="8"/>
        <v>0</v>
      </c>
      <c r="P34" s="200">
        <f t="shared" si="8"/>
        <v>0</v>
      </c>
      <c r="Q34" s="200">
        <f t="shared" si="8"/>
        <v>0</v>
      </c>
    </row>
    <row r="35" spans="2:17" s="197" customFormat="1"/>
    <row r="36" spans="2:17">
      <c r="C36" s="66" t="s">
        <v>204</v>
      </c>
      <c r="D36" s="177"/>
    </row>
    <row r="37" spans="2:17" s="197" customFormat="1">
      <c r="C37" s="86">
        <v>1</v>
      </c>
      <c r="D37" s="137" t="str">
        <f>"Opening balance assumptions are specified in "&amp;INDEX(LU_Denom,DD_TS_Denom)&amp;"."</f>
        <v>Opening balance assumptions are specified in $Millions.</v>
      </c>
    </row>
    <row r="38" spans="2:17">
      <c r="C38" s="86">
        <v>2</v>
      </c>
      <c r="D38" s="70" t="s">
        <v>474</v>
      </c>
    </row>
    <row r="41" spans="2:17" ht="12.75">
      <c r="B41" s="120" t="s">
        <v>404</v>
      </c>
    </row>
    <row r="42" spans="2:17" ht="11.25" thickBot="1">
      <c r="I42" s="180" t="s">
        <v>471</v>
      </c>
      <c r="J42" s="181" t="s">
        <v>476</v>
      </c>
      <c r="K42" s="177"/>
      <c r="L42" s="177"/>
      <c r="M42" s="177"/>
      <c r="N42" s="177"/>
      <c r="O42" s="177"/>
      <c r="P42" s="177"/>
      <c r="Q42" s="177"/>
    </row>
    <row r="43" spans="2:17">
      <c r="C43" s="70" t="s">
        <v>461</v>
      </c>
      <c r="I43" s="69">
        <v>145</v>
      </c>
      <c r="J43" s="68">
        <v>0.9</v>
      </c>
      <c r="K43" s="67">
        <v>0.9</v>
      </c>
      <c r="L43" s="67">
        <v>0.9</v>
      </c>
      <c r="M43" s="67">
        <v>0.9</v>
      </c>
      <c r="N43" s="67">
        <v>0.9</v>
      </c>
      <c r="O43" s="67">
        <v>0.9</v>
      </c>
      <c r="P43" s="67">
        <v>0.9</v>
      </c>
      <c r="Q43" s="67">
        <v>0.9</v>
      </c>
    </row>
    <row r="44" spans="2:17">
      <c r="C44" s="70" t="s">
        <v>475</v>
      </c>
      <c r="I44" s="69">
        <v>11.5</v>
      </c>
      <c r="J44" s="68">
        <v>0.25</v>
      </c>
      <c r="K44" s="68">
        <v>0.25</v>
      </c>
      <c r="L44" s="68">
        <v>0.25</v>
      </c>
      <c r="M44" s="68">
        <v>0.25</v>
      </c>
      <c r="N44" s="68">
        <v>0.25</v>
      </c>
      <c r="O44" s="68">
        <v>0.25</v>
      </c>
      <c r="P44" s="68">
        <v>0.25</v>
      </c>
      <c r="Q44" s="68">
        <v>0.25</v>
      </c>
    </row>
    <row r="46" spans="2:17" s="197" customFormat="1">
      <c r="C46" s="66" t="s">
        <v>204</v>
      </c>
    </row>
    <row r="47" spans="2:17" s="197" customFormat="1">
      <c r="C47" s="86">
        <v>1</v>
      </c>
      <c r="D47" s="137" t="str">
        <f>"Opening balance assumptions are specified in "&amp;INDEX(LU_Denom,DD_TS_Denom)&amp;"."</f>
        <v>Opening balance assumptions are specified in $Millions.</v>
      </c>
    </row>
    <row r="48" spans="2:17" s="197" customFormat="1">
      <c r="C48" s="86"/>
      <c r="D48" s="137"/>
    </row>
    <row r="50" spans="2:17" ht="12.75">
      <c r="B50" s="120" t="s">
        <v>405</v>
      </c>
    </row>
    <row r="52" spans="2:17" s="177" customFormat="1" ht="11.25">
      <c r="C52" s="65" t="s">
        <v>417</v>
      </c>
    </row>
    <row r="53" spans="2:17" s="177" customFormat="1"/>
    <row r="54" spans="2:17" s="19" customFormat="1">
      <c r="D54" s="141" t="str">
        <f>"Funds Drawn ("&amp;INDEX(LU_Denom,DD_TS_Denom)&amp;")"</f>
        <v>Funds Drawn ($Millions)</v>
      </c>
    </row>
    <row r="55" spans="2:17" s="19" customFormat="1"/>
    <row r="56" spans="2:17" s="19" customFormat="1">
      <c r="E56" s="70" t="s">
        <v>247</v>
      </c>
      <c r="J56" s="121">
        <v>50</v>
      </c>
      <c r="K56" s="88">
        <f>Fcast_TO!K95</f>
        <v>50</v>
      </c>
      <c r="L56" s="88">
        <f>Fcast_TO!L95</f>
        <v>50</v>
      </c>
      <c r="M56" s="88">
        <f>Fcast_TO!M95</f>
        <v>50</v>
      </c>
      <c r="N56" s="88">
        <f>Fcast_TO!N95</f>
        <v>50</v>
      </c>
      <c r="O56" s="88">
        <f>Fcast_TO!O95</f>
        <v>55</v>
      </c>
      <c r="P56" s="88">
        <f>Fcast_TO!P95</f>
        <v>55</v>
      </c>
      <c r="Q56" s="88">
        <f>Fcast_TO!Q95</f>
        <v>55</v>
      </c>
    </row>
    <row r="57" spans="2:17" s="19" customFormat="1">
      <c r="E57" s="70" t="s">
        <v>248</v>
      </c>
      <c r="J57" s="121">
        <v>0</v>
      </c>
      <c r="K57" s="121">
        <v>0</v>
      </c>
      <c r="L57" s="121">
        <v>0</v>
      </c>
      <c r="M57" s="121">
        <v>0</v>
      </c>
      <c r="N57" s="121">
        <v>50</v>
      </c>
      <c r="O57" s="121">
        <v>0</v>
      </c>
      <c r="P57" s="121">
        <v>0</v>
      </c>
      <c r="Q57" s="121">
        <v>0</v>
      </c>
    </row>
    <row r="58" spans="2:17" s="19" customFormat="1">
      <c r="E58" s="70" t="s">
        <v>249</v>
      </c>
      <c r="J58" s="121">
        <v>0</v>
      </c>
      <c r="K58" s="121">
        <v>0</v>
      </c>
      <c r="L58" s="121">
        <v>0</v>
      </c>
      <c r="M58" s="121">
        <v>0</v>
      </c>
      <c r="N58" s="121">
        <v>45</v>
      </c>
      <c r="O58" s="121">
        <v>0</v>
      </c>
      <c r="P58" s="121">
        <v>0</v>
      </c>
      <c r="Q58" s="121">
        <v>0</v>
      </c>
    </row>
    <row r="59" spans="2:17" s="19" customFormat="1">
      <c r="E59" s="66" t="s">
        <v>250</v>
      </c>
      <c r="J59" s="136">
        <f>Fcast_TO!J98</f>
        <v>50</v>
      </c>
      <c r="K59" s="136">
        <f>Fcast_TO!K98</f>
        <v>50</v>
      </c>
      <c r="L59" s="136">
        <f>Fcast_TO!L98</f>
        <v>50</v>
      </c>
      <c r="M59" s="136">
        <f>Fcast_TO!M98</f>
        <v>50</v>
      </c>
      <c r="N59" s="136">
        <f>Fcast_TO!N98</f>
        <v>55</v>
      </c>
      <c r="O59" s="136">
        <f>Fcast_TO!O98</f>
        <v>55</v>
      </c>
      <c r="P59" s="136">
        <f>Fcast_TO!P98</f>
        <v>55</v>
      </c>
      <c r="Q59" s="136">
        <f>Fcast_TO!Q98</f>
        <v>55</v>
      </c>
    </row>
    <row r="60" spans="2:17" s="19" customFormat="1"/>
    <row r="61" spans="2:17" s="19" customFormat="1">
      <c r="E61" s="70" t="s">
        <v>251</v>
      </c>
      <c r="J61" s="67">
        <v>0.5</v>
      </c>
      <c r="K61" s="67">
        <v>0.5</v>
      </c>
      <c r="L61" s="67">
        <v>0.5</v>
      </c>
      <c r="M61" s="67">
        <v>0.5</v>
      </c>
      <c r="N61" s="67">
        <v>0.5</v>
      </c>
      <c r="O61" s="67">
        <v>0.5</v>
      </c>
      <c r="P61" s="67">
        <v>0.5</v>
      </c>
      <c r="Q61" s="67">
        <v>0.5</v>
      </c>
    </row>
    <row r="62" spans="2:17" s="19" customFormat="1"/>
    <row r="63" spans="2:17" s="19" customFormat="1">
      <c r="D63" s="66" t="s">
        <v>252</v>
      </c>
    </row>
    <row r="64" spans="2:17" s="19" customFormat="1"/>
    <row r="65" spans="3:17" s="19" customFormat="1">
      <c r="E65" s="70" t="s">
        <v>253</v>
      </c>
      <c r="J65" s="121">
        <v>0</v>
      </c>
    </row>
    <row r="66" spans="3:17" s="19" customFormat="1"/>
    <row r="67" spans="3:17" s="19" customFormat="1">
      <c r="E67" s="70" t="s">
        <v>254</v>
      </c>
      <c r="J67" s="139">
        <v>0.05</v>
      </c>
      <c r="K67" s="139">
        <v>0.05</v>
      </c>
      <c r="L67" s="139">
        <v>0.05</v>
      </c>
      <c r="M67" s="139">
        <v>0.05</v>
      </c>
      <c r="N67" s="139">
        <v>0.05</v>
      </c>
      <c r="O67" s="139">
        <v>0.05</v>
      </c>
      <c r="P67" s="139">
        <v>0.05</v>
      </c>
      <c r="Q67" s="139">
        <v>0.05</v>
      </c>
    </row>
    <row r="68" spans="3:17" s="19" customFormat="1">
      <c r="E68" s="70" t="s">
        <v>255</v>
      </c>
      <c r="J68" s="139">
        <v>1.4999999999999999E-2</v>
      </c>
      <c r="K68" s="139">
        <v>1.4999999999999999E-2</v>
      </c>
      <c r="L68" s="139">
        <v>1.4999999999999999E-2</v>
      </c>
      <c r="M68" s="139">
        <v>1.4999999999999999E-2</v>
      </c>
      <c r="N68" s="139">
        <v>1.4999999999999999E-2</v>
      </c>
      <c r="O68" s="139">
        <v>1.4999999999999999E-2</v>
      </c>
      <c r="P68" s="139">
        <v>1.4999999999999999E-2</v>
      </c>
      <c r="Q68" s="139">
        <v>1.4999999999999999E-2</v>
      </c>
    </row>
    <row r="69" spans="3:17" s="19" customFormat="1">
      <c r="E69" s="70" t="s">
        <v>256</v>
      </c>
      <c r="J69" s="140">
        <f t="shared" ref="J69:Q69" si="9">SUM(J67:J68)</f>
        <v>6.5000000000000002E-2</v>
      </c>
      <c r="K69" s="140">
        <f t="shared" si="9"/>
        <v>6.5000000000000002E-2</v>
      </c>
      <c r="L69" s="140">
        <f t="shared" si="9"/>
        <v>6.5000000000000002E-2</v>
      </c>
      <c r="M69" s="140">
        <f t="shared" si="9"/>
        <v>6.5000000000000002E-2</v>
      </c>
      <c r="N69" s="140">
        <f t="shared" si="9"/>
        <v>6.5000000000000002E-2</v>
      </c>
      <c r="O69" s="140">
        <f t="shared" si="9"/>
        <v>6.5000000000000002E-2</v>
      </c>
      <c r="P69" s="140">
        <f t="shared" si="9"/>
        <v>6.5000000000000002E-2</v>
      </c>
      <c r="Q69" s="140">
        <f t="shared" si="9"/>
        <v>6.5000000000000002E-2</v>
      </c>
    </row>
    <row r="71" spans="3:17" s="19" customFormat="1" ht="11.25">
      <c r="C71" s="65" t="s">
        <v>418</v>
      </c>
    </row>
    <row r="72" spans="3:17" s="19" customFormat="1"/>
    <row r="73" spans="3:17" s="19" customFormat="1">
      <c r="D73" s="141" t="str">
        <f>"Ordinary Equity Balances"&amp;" ("&amp;INDEX(LU_Denom,DD_TS_Denom)&amp;")"</f>
        <v>Ordinary Equity Balances ($Millions)</v>
      </c>
    </row>
    <row r="74" spans="3:17" s="19" customFormat="1"/>
    <row r="75" spans="3:17" s="19" customFormat="1">
      <c r="E75" s="70" t="s">
        <v>247</v>
      </c>
      <c r="J75" s="121">
        <v>75</v>
      </c>
      <c r="K75" s="88">
        <f>Fcast_TO!K121</f>
        <v>75</v>
      </c>
      <c r="L75" s="88">
        <f>Fcast_TO!L121</f>
        <v>75</v>
      </c>
      <c r="M75" s="88">
        <f>Fcast_TO!M121</f>
        <v>75</v>
      </c>
      <c r="N75" s="88">
        <f>Fcast_TO!N121</f>
        <v>75</v>
      </c>
      <c r="O75" s="88">
        <f>Fcast_TO!O121</f>
        <v>75</v>
      </c>
      <c r="P75" s="88">
        <f>Fcast_TO!P121</f>
        <v>75</v>
      </c>
      <c r="Q75" s="88">
        <f>Fcast_TO!Q121</f>
        <v>75</v>
      </c>
    </row>
    <row r="76" spans="3:17" s="19" customFormat="1">
      <c r="E76" s="70" t="s">
        <v>267</v>
      </c>
      <c r="J76" s="121">
        <v>0</v>
      </c>
      <c r="K76" s="121">
        <v>0</v>
      </c>
      <c r="L76" s="121">
        <v>0</v>
      </c>
      <c r="M76" s="121">
        <v>0</v>
      </c>
      <c r="N76" s="121">
        <v>0</v>
      </c>
      <c r="O76" s="121">
        <v>0</v>
      </c>
      <c r="P76" s="121">
        <v>0</v>
      </c>
      <c r="Q76" s="121">
        <v>0</v>
      </c>
    </row>
    <row r="77" spans="3:17" s="19" customFormat="1">
      <c r="E77" s="70" t="s">
        <v>268</v>
      </c>
      <c r="J77" s="121">
        <v>0</v>
      </c>
      <c r="K77" s="121">
        <v>0</v>
      </c>
      <c r="L77" s="121">
        <v>0</v>
      </c>
      <c r="M77" s="121">
        <v>0</v>
      </c>
      <c r="N77" s="121">
        <v>0</v>
      </c>
      <c r="O77" s="121">
        <v>0</v>
      </c>
      <c r="P77" s="121">
        <v>0</v>
      </c>
      <c r="Q77" s="121">
        <v>0</v>
      </c>
    </row>
    <row r="78" spans="3:17" s="19" customFormat="1">
      <c r="E78" s="66" t="s">
        <v>269</v>
      </c>
      <c r="J78" s="136">
        <f>Fcast_TO!J124</f>
        <v>75</v>
      </c>
      <c r="K78" s="136">
        <f>Fcast_TO!K124</f>
        <v>75</v>
      </c>
      <c r="L78" s="136">
        <f>Fcast_TO!L124</f>
        <v>75</v>
      </c>
      <c r="M78" s="136">
        <f>Fcast_TO!M124</f>
        <v>75</v>
      </c>
      <c r="N78" s="136">
        <f>Fcast_TO!N124</f>
        <v>75</v>
      </c>
      <c r="O78" s="136">
        <f>Fcast_TO!O124</f>
        <v>75</v>
      </c>
      <c r="P78" s="136">
        <f>Fcast_TO!P124</f>
        <v>75</v>
      </c>
      <c r="Q78" s="136">
        <f>Fcast_TO!Q124</f>
        <v>75</v>
      </c>
    </row>
    <row r="79" spans="3:17" s="19" customFormat="1"/>
    <row r="80" spans="3:17" s="19" customFormat="1">
      <c r="D80" s="66" t="s">
        <v>270</v>
      </c>
    </row>
    <row r="81" spans="2:17" s="19" customFormat="1"/>
    <row r="82" spans="2:17" s="19" customFormat="1">
      <c r="E82" s="70" t="s">
        <v>247</v>
      </c>
      <c r="J82" s="121">
        <v>0</v>
      </c>
    </row>
    <row r="83" spans="2:17" s="19" customFormat="1"/>
    <row r="84" spans="2:17" s="19" customFormat="1" ht="15.75" customHeight="1">
      <c r="E84" s="70" t="s">
        <v>271</v>
      </c>
      <c r="J84" s="85">
        <v>1</v>
      </c>
    </row>
    <row r="85" spans="2:17" s="19" customFormat="1"/>
    <row r="86" spans="2:17" s="19" customFormat="1">
      <c r="E86" s="70" t="s">
        <v>272</v>
      </c>
      <c r="J86" s="144" t="s">
        <v>87</v>
      </c>
      <c r="K86" s="144" t="s">
        <v>87</v>
      </c>
      <c r="L86" s="144" t="s">
        <v>87</v>
      </c>
      <c r="M86" s="144" t="s">
        <v>87</v>
      </c>
      <c r="N86" s="144" t="s">
        <v>87</v>
      </c>
      <c r="O86" s="144" t="s">
        <v>87</v>
      </c>
      <c r="P86" s="144" t="s">
        <v>87</v>
      </c>
      <c r="Q86" s="144" t="s">
        <v>87</v>
      </c>
    </row>
    <row r="87" spans="2:17" s="19" customFormat="1">
      <c r="E87" s="137" t="str">
        <f>"Dividend Payout Ratio - "&amp;IF(DD_Eq_Ord_Div_Meth=1,INDEX(LU_Eq_Ord_Div_Meth,DD_Eq_Ord_Div_Meth),"Not Applied")</f>
        <v>Dividend Payout Ratio - % of NPAT</v>
      </c>
      <c r="J87" s="67">
        <v>0.5</v>
      </c>
      <c r="K87" s="67">
        <v>0.5</v>
      </c>
      <c r="L87" s="67">
        <v>0.5</v>
      </c>
      <c r="M87" s="67">
        <v>0.5</v>
      </c>
      <c r="N87" s="67">
        <v>0.5</v>
      </c>
      <c r="O87" s="67">
        <v>0.5</v>
      </c>
      <c r="P87" s="67">
        <v>0.5</v>
      </c>
      <c r="Q87" s="67">
        <v>0.5</v>
      </c>
    </row>
    <row r="88" spans="2:17" s="19" customFormat="1">
      <c r="E88" s="137" t="str">
        <f>"Assumed Dividends "&amp;IF(DD_Eq_Ord_Div_Meth=2,"("&amp;INDEX(LU_Denom,DD_TS_Denom)&amp;")","- Not Applied")</f>
        <v>Assumed Dividends - Not Applied</v>
      </c>
      <c r="J88" s="121">
        <v>0</v>
      </c>
      <c r="K88" s="121">
        <v>0</v>
      </c>
      <c r="L88" s="121">
        <v>0</v>
      </c>
      <c r="M88" s="121">
        <v>0</v>
      </c>
      <c r="N88" s="121">
        <v>0</v>
      </c>
      <c r="O88" s="121">
        <v>0</v>
      </c>
      <c r="P88" s="121">
        <v>0</v>
      </c>
      <c r="Q88" s="121">
        <v>0</v>
      </c>
    </row>
    <row r="89" spans="2:17" s="19" customFormat="1"/>
    <row r="90" spans="2:17" s="19" customFormat="1" ht="17.25" customHeight="1">
      <c r="E90" s="85" t="b">
        <v>0</v>
      </c>
    </row>
    <row r="91" spans="2:17" s="19" customFormat="1" ht="17.25" customHeight="1">
      <c r="E91" s="85" t="b">
        <v>0</v>
      </c>
    </row>
    <row r="92" spans="2:17" s="19" customFormat="1"/>
    <row r="93" spans="2:17" s="19" customFormat="1">
      <c r="D93" s="66" t="s">
        <v>204</v>
      </c>
      <c r="E93" s="116"/>
    </row>
    <row r="94" spans="2:17" s="19" customFormat="1">
      <c r="B94" s="116"/>
      <c r="D94" s="86">
        <v>1</v>
      </c>
      <c r="E94" s="70" t="s">
        <v>273</v>
      </c>
    </row>
    <row r="95" spans="2:17" s="19" customFormat="1">
      <c r="B95" s="116"/>
      <c r="D95" s="86">
        <v>2</v>
      </c>
      <c r="E95" s="70" t="s">
        <v>274</v>
      </c>
    </row>
    <row r="98" spans="2:12" s="19" customFormat="1" ht="12.75">
      <c r="B98" s="120" t="s">
        <v>406</v>
      </c>
    </row>
    <row r="99" spans="2:12" s="19" customFormat="1"/>
    <row r="100" spans="2:12" s="19" customFormat="1" ht="11.25">
      <c r="C100" s="135" t="str">
        <f>"Tax Payable ("&amp;INDEX(LU_Denom,DD_TS_Denom)&amp;")"</f>
        <v>Tax Payable ($Millions)</v>
      </c>
    </row>
    <row r="101" spans="2:12" s="19" customFormat="1"/>
    <row r="102" spans="2:12" s="177" customFormat="1">
      <c r="D102" s="70" t="s">
        <v>1</v>
      </c>
      <c r="J102" s="121">
        <v>3.5</v>
      </c>
    </row>
    <row r="103" spans="2:12" s="177" customFormat="1">
      <c r="D103" s="70"/>
    </row>
    <row r="104" spans="2:12" s="19" customFormat="1" ht="11.25">
      <c r="C104" s="65" t="s">
        <v>2</v>
      </c>
    </row>
    <row r="105" spans="2:12" s="19" customFormat="1"/>
    <row r="106" spans="2:12" s="19" customFormat="1">
      <c r="D106" s="70" t="s">
        <v>3</v>
      </c>
      <c r="J106" s="67">
        <v>0.3</v>
      </c>
    </row>
    <row r="107" spans="2:12" s="19" customFormat="1"/>
    <row r="108" spans="2:12" s="19" customFormat="1">
      <c r="C108" s="66" t="s">
        <v>204</v>
      </c>
      <c r="D108" s="116"/>
    </row>
    <row r="109" spans="2:12" s="19" customFormat="1">
      <c r="B109" s="116"/>
      <c r="C109" s="86">
        <v>1</v>
      </c>
      <c r="D109" s="70" t="s">
        <v>487</v>
      </c>
    </row>
    <row r="110" spans="2:12">
      <c r="C110" s="86">
        <v>2</v>
      </c>
      <c r="D110" s="70" t="s">
        <v>420</v>
      </c>
    </row>
    <row r="111" spans="2:12" ht="10.5" customHeight="1">
      <c r="C111" s="86">
        <v>3</v>
      </c>
      <c r="D111" s="300" t="s">
        <v>489</v>
      </c>
      <c r="E111" s="300"/>
      <c r="F111" s="300"/>
      <c r="G111" s="300"/>
      <c r="H111" s="300"/>
      <c r="I111" s="300"/>
      <c r="J111" s="300"/>
      <c r="K111" s="300"/>
      <c r="L111" s="184"/>
    </row>
    <row r="112" spans="2:12">
      <c r="D112" s="300"/>
      <c r="E112" s="300"/>
      <c r="F112" s="300"/>
      <c r="G112" s="300"/>
      <c r="H112" s="300"/>
      <c r="I112" s="300"/>
      <c r="J112" s="300"/>
      <c r="K112" s="300"/>
      <c r="L112" s="184"/>
    </row>
    <row r="115" spans="2:17" ht="12.75">
      <c r="B115" s="120" t="s">
        <v>537</v>
      </c>
    </row>
    <row r="117" spans="2:17" ht="11.25">
      <c r="C117" s="135" t="str">
        <f>"Cash at Bank ("&amp;INDEX(LU_Denom,DD_TS_Denom)&amp;")"</f>
        <v>Cash at Bank ($Millions)</v>
      </c>
    </row>
    <row r="119" spans="2:17" s="177" customFormat="1">
      <c r="D119" s="70" t="s">
        <v>283</v>
      </c>
      <c r="J119" s="121">
        <v>15</v>
      </c>
    </row>
    <row r="121" spans="2:17" ht="11.25">
      <c r="C121" s="135" t="str">
        <f>"Other Balance Sheet Items ("&amp;INDEX(LU_Denom,DD_TS_Denom)&amp;")"</f>
        <v>Other Balance Sheet Items ($Millions)</v>
      </c>
    </row>
    <row r="122" spans="2:17" ht="11.25" thickBot="1">
      <c r="I122" s="180" t="s">
        <v>471</v>
      </c>
    </row>
    <row r="123" spans="2:17">
      <c r="D123" s="70" t="s">
        <v>493</v>
      </c>
      <c r="I123" s="69">
        <v>2</v>
      </c>
      <c r="J123" s="121">
        <v>3</v>
      </c>
      <c r="K123" s="121">
        <v>4</v>
      </c>
      <c r="L123" s="121">
        <v>5</v>
      </c>
      <c r="M123" s="121">
        <v>6</v>
      </c>
      <c r="N123" s="121">
        <v>7</v>
      </c>
      <c r="O123" s="121">
        <v>8</v>
      </c>
      <c r="P123" s="121">
        <v>9</v>
      </c>
      <c r="Q123" s="121">
        <v>10</v>
      </c>
    </row>
    <row r="124" spans="2:17">
      <c r="D124" s="70" t="s">
        <v>494</v>
      </c>
      <c r="I124" s="69">
        <v>3</v>
      </c>
      <c r="J124" s="121">
        <v>4</v>
      </c>
      <c r="K124" s="121">
        <v>5</v>
      </c>
      <c r="L124" s="121">
        <v>6</v>
      </c>
      <c r="M124" s="121">
        <v>7</v>
      </c>
      <c r="N124" s="121">
        <v>8</v>
      </c>
      <c r="O124" s="121">
        <v>9</v>
      </c>
      <c r="P124" s="121">
        <v>10</v>
      </c>
      <c r="Q124" s="121">
        <v>11</v>
      </c>
    </row>
    <row r="125" spans="2:17">
      <c r="D125" s="70" t="s">
        <v>495</v>
      </c>
      <c r="I125" s="69">
        <v>4</v>
      </c>
      <c r="J125" s="121">
        <v>5</v>
      </c>
      <c r="K125" s="121">
        <v>6</v>
      </c>
      <c r="L125" s="121">
        <v>7</v>
      </c>
      <c r="M125" s="121">
        <v>8</v>
      </c>
      <c r="N125" s="121">
        <v>9</v>
      </c>
      <c r="O125" s="121">
        <v>10</v>
      </c>
      <c r="P125" s="121">
        <v>11</v>
      </c>
      <c r="Q125" s="121">
        <v>12</v>
      </c>
    </row>
    <row r="126" spans="2:17">
      <c r="D126" s="70" t="s">
        <v>496</v>
      </c>
      <c r="I126" s="69">
        <v>5</v>
      </c>
      <c r="J126" s="121">
        <v>6</v>
      </c>
      <c r="K126" s="121">
        <v>7</v>
      </c>
      <c r="L126" s="121">
        <v>8</v>
      </c>
      <c r="M126" s="121">
        <v>9</v>
      </c>
      <c r="N126" s="121">
        <v>10</v>
      </c>
      <c r="O126" s="121">
        <v>11</v>
      </c>
      <c r="P126" s="121">
        <v>12</v>
      </c>
      <c r="Q126" s="121">
        <v>13</v>
      </c>
    </row>
    <row r="128" spans="2:17">
      <c r="D128" s="66" t="s">
        <v>204</v>
      </c>
      <c r="E128" s="177"/>
    </row>
    <row r="129" spans="4:5" s="197" customFormat="1">
      <c r="D129" s="86">
        <v>1</v>
      </c>
      <c r="E129" s="137" t="str">
        <f>"Opening balance assumptions are specified in "&amp;INDEX(LU_Denom,DD_TS_Denom)&amp;"."</f>
        <v>Opening balance assumptions are specified in $Millions.</v>
      </c>
    </row>
    <row r="130" spans="4:5">
      <c r="D130" s="86">
        <v>2</v>
      </c>
      <c r="E130" s="70" t="s">
        <v>499</v>
      </c>
    </row>
    <row r="131" spans="4:5">
      <c r="D131" s="86">
        <v>3</v>
      </c>
      <c r="E131" s="70" t="s">
        <v>497</v>
      </c>
    </row>
    <row r="132" spans="4:5">
      <c r="D132" s="86">
        <v>4</v>
      </c>
      <c r="E132" s="70" t="s">
        <v>498</v>
      </c>
    </row>
  </sheetData>
  <mergeCells count="2">
    <mergeCell ref="D111:K112"/>
    <mergeCell ref="B3:F3"/>
  </mergeCells>
  <conditionalFormatting sqref="J86:Q86">
    <cfRule type="cellIs" dxfId="59" priority="8" stopIfTrue="1" operator="equal">
      <formula>"Yes"</formula>
    </cfRule>
  </conditionalFormatting>
  <conditionalFormatting sqref="J87:Q87">
    <cfRule type="expression" dxfId="58" priority="7" stopIfTrue="1">
      <formula>OR(DD_Eq_Ord_Div_Meth&lt;&gt;1,J86&lt;&gt;"Yes")</formula>
    </cfRule>
  </conditionalFormatting>
  <conditionalFormatting sqref="J88:Q88">
    <cfRule type="expression" dxfId="57" priority="6" stopIfTrue="1">
      <formula>OR(DD_Eq_Ord_Div_Meth&lt;&gt;2,J86&lt;&gt;"Yes")</formula>
    </cfRule>
  </conditionalFormatting>
  <conditionalFormatting sqref="I34:Q34">
    <cfRule type="cellIs" dxfId="56" priority="9" stopIfTrue="1" operator="notEqual">
      <formula>0</formula>
    </cfRule>
  </conditionalFormatting>
  <dataValidations count="25">
    <dataValidation type="decimal" showDropDown="1" showInputMessage="1" showErrorMessage="1" errorTitle="Invalid Assumption" error="The Corporate Taxation Rate percentage cannot be less than 0% or greater than 100% in any period." promptTitle="Corporate Taxation Rate" prompt="Tax rate applied to all tax calculations in the model." sqref="J106">
      <formula1>0</formula1>
      <formula2>1</formula2>
    </dataValidation>
    <dataValidation type="custom" showDropDown="1" showErrorMessage="1" errorTitle="Check Box Cell Link" error="The value in an option button cell link must be either &quot;TRUE&quot; or &quot;FALSE&quot;" sqref="E90:E91">
      <formula1>ISLOGICAL(E90)</formula1>
    </dataValidation>
    <dataValidation type="list" showErrorMessage="1" errorTitle="Invalid Assumption" error="A &quot;Yes&quot; Or &quot;No&quot; must be entered for each period indicating whether or not dividends are declared in that period." sqref="J86:Q86">
      <formula1>"Yes,No"</formula1>
    </dataValidation>
    <dataValidation type="decimal" operator="greaterThanOrEqual" allowBlank="1" showDropDown="1" showInputMessage="1" showErrorMessage="1" errorTitle="Invalid Assumption" error="Assumption must be a value greater than or equal to zero." promptTitle="Opening Ordinary Equity Balance" prompt="Represents the value of ordinary equity as at the start of the current time series." sqref="J75">
      <formula1>0</formula1>
    </dataValidation>
    <dataValidation type="decimal" operator="greaterThanOrEqual" allowBlank="1" showDropDown="1" showInputMessage="1" showErrorMessage="1" errorTitle="Invalid Assumption" error="Assumption must be a value greater than or equal to zero." promptTitle="Equity Raisings" prompt="Represents the value of equity raised during the current period." sqref="J76:Q76">
      <formula1>0</formula1>
    </dataValidation>
    <dataValidation type="decimal" operator="greaterThanOrEqual" allowBlank="1" showDropDown="1" showInputMessage="1" showErrorMessage="1" errorTitle="Invalid Assumption" error="Assumption must be a value greater than or equal to zero." promptTitle="Equity Repayments" prompt="Represents the value of equity repaid during the current period." sqref="J77:Q77">
      <formula1>0</formula1>
    </dataValidation>
    <dataValidation type="decimal" operator="greaterThanOrEqual" allowBlank="1" showDropDown="1" showInputMessage="1" showErrorMessage="1" errorTitle="Invalid Assumption" error="Assumption must be a value greater than or equal to zero." promptTitle="Opening Dividends Payable" prompt="Represents the value of dividends payable as at the start of the current time series." sqref="J82">
      <formula1>0</formula1>
    </dataValidation>
    <dataValidation type="whole" showDropDown="1" showErrorMessage="1" errorTitle="Drop Down Box Cell Link" error="The value in a drop down box cell link must be a whole number within the control's lookup range rows." sqref="J84">
      <formula1>1</formula1>
      <formula2>ROWS(LU_Eq_Ord_Div_Meth )</formula2>
    </dataValidation>
    <dataValidation type="decimal" showDropDown="1" showErrorMessage="1" errorTitle="Invalid Assumption" error="The Dividend Payout Ratio percentage cannot be less than 0% or greater than 100% in any period." sqref="J87:Q87">
      <formula1>0</formula1>
      <formula2>1</formula2>
    </dataValidation>
    <dataValidation type="decimal" operator="greaterThanOrEqual" allowBlank="1" showDropDown="1" showInputMessage="1" showErrorMessage="1" errorTitle="Invalid Assumption" error="Assumption must be a value greater than or equal to zero." promptTitle="Assumed Dividends" prompt="Represents the value of Dividends Payable as at the end of the current period." sqref="J88:Q88">
      <formula1>0</formula1>
    </dataValidation>
    <dataValidation type="decimal" operator="greaterThanOrEqual" allowBlank="1" showDropDown="1" showErrorMessage="1" errorTitle="Invalid Assumption" error="Assumption must be a value greater than or equal to zero." sqref="J31:Q32">
      <formula1>0</formula1>
    </dataValidation>
    <dataValidation type="decimal" operator="greaterThanOrEqual" allowBlank="1" showDropDown="1" showInputMessage="1" showErrorMessage="1" errorTitle="Invalid Assumption" error="Assumption must be a value greater than or equal to zero." promptTitle="Opening Debt Balance" prompt="Represents the value of debt as at the start of the current time series." sqref="J56">
      <formula1>0</formula1>
    </dataValidation>
    <dataValidation type="decimal" operator="greaterThanOrEqual" allowBlank="1" showDropDown="1" showInputMessage="1" showErrorMessage="1" errorTitle="Invalid Assumption" error="Assumption must be a value greater than or equal to zero." promptTitle="Debt Drawdowns" prompt="Represents the value of debt drawn down during the current period." sqref="J57:Q57">
      <formula1>0</formula1>
    </dataValidation>
    <dataValidation type="decimal" operator="greaterThanOrEqual" allowBlank="1" showDropDown="1" showInputMessage="1" showErrorMessage="1" errorTitle="Invalid Assumption" error="Assumption must be a value greater than or equal to zero." promptTitle="Debt Repayments" prompt="Represents the value of debt repaid during the current period." sqref="J58:Q58">
      <formula1>0</formula1>
    </dataValidation>
    <dataValidation type="decimal" showDropDown="1" showErrorMessage="1" errorTitle="Invalid Assumption" error="The &quot;Drawdowns/Repayments % into Period&quot; percentage cannot be less than 0% or greater than 100% in any period." sqref="J61:Q61">
      <formula1>0</formula1>
      <formula2>1</formula2>
    </dataValidation>
    <dataValidation type="decimal" operator="greaterThanOrEqual" allowBlank="1" showDropDown="1" showInputMessage="1" showErrorMessage="1" errorTitle="Invalid Assumption" error="Assumption must be a value greater than or equal to zero." promptTitle="Opening Interest Payable Balance" prompt="Represents the value of interest payable  as at the start of the current time series." sqref="J65">
      <formula1>0</formula1>
    </dataValidation>
    <dataValidation type="decimal" allowBlank="1" showDropDown="1" showInputMessage="1" showErrorMessage="1" errorTitle="Invalid Assumption" error="The base interest rate percentage cannot be less than 0% or greater than 100% in any period." promptTitle="Base Interest Rate" prompt="Represents the base interest rate applicable to the debt drawn on the current debt category for the current period" sqref="J67:Q67">
      <formula1>0</formula1>
      <formula2>1</formula2>
    </dataValidation>
    <dataValidation type="decimal" allowBlank="1" showDropDown="1" showInputMessage="1" showErrorMessage="1" errorTitle="Invalid Assumption" error="The margin percentage cannot be less than 0% or greater than 100% in any period." promptTitle="Margin" prompt="Represents the margin applicable to the debt drawn on the current debt category for the current period" sqref="J68:Q68">
      <formula1>0</formula1>
      <formula2>1</formula2>
    </dataValidation>
    <dataValidation type="decimal" operator="greaterThanOrEqual" allowBlank="1" showDropDown="1" showInputMessage="1" showErrorMessage="1" errorTitle="Invalid Assumption" error="Assumption must be a value greater than or equal to zero." promptTitle="Opening Tax Payable" prompt="Represents the opening value of the tax payable liability." sqref="J102">
      <formula1>0</formula1>
    </dataValidation>
    <dataValidation type="custom" showErrorMessage="1" errorTitle="Invalid Assumption" error="Assumption must be a number." sqref="J123:Q126 J43:Q44 K18:Q22">
      <formula1>NOT(ISERROR(J18/1))</formula1>
    </dataValidation>
    <dataValidation type="decimal" operator="greaterThanOrEqual" allowBlank="1" showDropDown="1" showInputMessage="1" showErrorMessage="1" errorTitle="Invalid Assumption" error="Assumption must be a value greater than or equal to zero." promptTitle="Opening Cash at Bank" prompt="Cash at bank as at the model start date." sqref="J119">
      <formula1>0</formula1>
    </dataValidation>
    <dataValidation type="decimal" operator="greaterThanOrEqual" allowBlank="1" showDropDown="1" showInputMessage="1" showErrorMessage="1" errorTitle="Invalid Assumption" error="Assumption must be a value greater than or equal to zero." promptTitle="Opening Balance" prompt="Opening balance as at the model start date." sqref="I31:I32">
      <formula1>0</formula1>
    </dataValidation>
    <dataValidation type="decimal" operator="greaterThanOrEqual" allowBlank="1" showDropDown="1" showInputMessage="1" showErrorMessage="1" errorTitle="Invalid Assumption" error="Assumption must be a value greater than or equal to zero." promptTitle="Opening Balance" prompt="Opening balance as at the model start date." sqref="I43:I44">
      <formula1>0</formula1>
    </dataValidation>
    <dataValidation type="decimal" operator="greaterThanOrEqual" allowBlank="1" showDropDown="1" showInputMessage="1" showErrorMessage="1" errorTitle="Invalid Assumption" error="Assumption must be a value greater than or equal to zero." promptTitle="Base Amount" prompt="The revenue or expense amount in the first time series period." sqref="J18:J22">
      <formula1>0</formula1>
    </dataValidation>
    <dataValidation type="decimal" operator="greaterThanOrEqual" allowBlank="1" showDropDown="1" showInputMessage="1" showErrorMessage="1" errorTitle="Invalid Assumption" error="Assumption must be a value greater than or equal to zero." promptTitle="Opening Balance" prompt="The asset, liability or equity balance as at the model start date." sqref="I123:I126">
      <formula1>0</formula1>
    </dataValidation>
  </dataValidations>
  <hyperlinks>
    <hyperlink ref="B3" location="HL_Home" tooltip="Go to Table of Contents" display="HL_Home"/>
    <hyperlink ref="A4" location="$B$14" tooltip="Go to Top of Sheet" display="$B$14"/>
    <hyperlink ref="B4" location="HL_Sheet_Main_5" tooltip="Go to Previous Sheet" display="HL_Sheet_Main_5"/>
    <hyperlink ref="C4" location="HL_Sheet_Main_16" tooltip="Go to Next Sheet" display="HL_Sheet_Main_1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orientation="landscape" horizontalDpi="300" verticalDpi="300" r:id="rId1"/>
  <headerFooter>
    <oddFooter>&amp;L&amp;F
&amp;A
Printed: &amp;T on &amp;D&amp;CPage &amp;P of &amp;N&amp;R&amp;G</oddFooter>
  </headerFooter>
  <rowBreaks count="4" manualBreakCount="4">
    <brk id="40" min="1" max="16" man="1"/>
    <brk id="70" min="1" max="16" man="1"/>
    <brk id="97" min="1" max="16" man="1"/>
    <brk id="114" min="1" max="16" man="1"/>
  </rowBreaks>
  <legacyDrawing r:id="rId2"/>
  <legacyDrawingHF r:id="rId3"/>
</worksheet>
</file>

<file path=xl/worksheets/sheet14.xml><?xml version="1.0" encoding="utf-8"?>
<worksheet xmlns="http://schemas.openxmlformats.org/spreadsheetml/2006/main" xmlns:r="http://schemas.openxmlformats.org/officeDocument/2006/relationships">
  <sheetPr codeName="Sheet1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398</v>
      </c>
    </row>
    <row r="10" spans="3:7" ht="16.5">
      <c r="C10" s="28" t="s">
        <v>201</v>
      </c>
    </row>
    <row r="11" spans="3:7" ht="15">
      <c r="C11" s="2" t="str">
        <f>Model_Name</f>
        <v>SMA 8. Calculation Formulae - Best Practice Model Example</v>
      </c>
    </row>
    <row r="12" spans="3:7">
      <c r="C12" s="245" t="s">
        <v>49</v>
      </c>
      <c r="D12" s="245"/>
      <c r="E12" s="245"/>
      <c r="F12" s="245"/>
      <c r="G12" s="245"/>
    </row>
    <row r="13" spans="3:7" ht="12.75">
      <c r="C13" s="12" t="s">
        <v>54</v>
      </c>
      <c r="D13" s="13" t="s">
        <v>103</v>
      </c>
    </row>
    <row r="17" spans="3:3">
      <c r="C17" s="26" t="s">
        <v>467</v>
      </c>
    </row>
    <row r="18" spans="3:3">
      <c r="C18" s="27" t="s">
        <v>394</v>
      </c>
    </row>
    <row r="19" spans="3:3">
      <c r="C19" s="27"/>
    </row>
    <row r="20" spans="3:3">
      <c r="C20" s="27"/>
    </row>
  </sheetData>
  <mergeCells count="1">
    <mergeCell ref="C12:G12"/>
  </mergeCells>
  <hyperlinks>
    <hyperlink ref="C12" location="HL_Home" tooltip="Go to Table of Contents" display="HL_Home"/>
    <hyperlink ref="C13" location="HL_Sheet_Main_12" tooltip="Go to Previous Sheet" display="HL_Sheet_Main_12"/>
    <hyperlink ref="D13" location="HL_Sheet_Main_15" tooltip="Go to Next Sheet" display="HL_Sheet_Main_15"/>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15.xml><?xml version="1.0" encoding="utf-8"?>
<worksheet xmlns="http://schemas.openxmlformats.org/spreadsheetml/2006/main" xmlns:r="http://schemas.openxmlformats.org/officeDocument/2006/relationships">
  <sheetPr codeName="Sheet14">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516</v>
      </c>
    </row>
    <row r="10" spans="3:7" ht="16.5">
      <c r="C10" s="28" t="s">
        <v>524</v>
      </c>
    </row>
    <row r="11" spans="3:7" ht="15">
      <c r="C11" s="2" t="str">
        <f>Model_Name</f>
        <v>SMA 8. Calculation Formulae - Best Practice Model Example</v>
      </c>
    </row>
    <row r="12" spans="3:7">
      <c r="C12" s="245" t="s">
        <v>49</v>
      </c>
      <c r="D12" s="245"/>
      <c r="E12" s="245"/>
      <c r="F12" s="245"/>
      <c r="G12" s="245"/>
    </row>
    <row r="13" spans="3:7" ht="12.75">
      <c r="C13" s="12" t="s">
        <v>54</v>
      </c>
      <c r="D13" s="13" t="s">
        <v>103</v>
      </c>
    </row>
    <row r="17" spans="3:3">
      <c r="C17" s="26" t="s">
        <v>512</v>
      </c>
    </row>
    <row r="18" spans="3:3">
      <c r="C18" s="188" t="s">
        <v>517</v>
      </c>
    </row>
    <row r="19" spans="3:3">
      <c r="C19" s="188"/>
    </row>
    <row r="20" spans="3:3">
      <c r="C20" s="188"/>
    </row>
  </sheetData>
  <mergeCells count="1">
    <mergeCell ref="C12:G12"/>
  </mergeCells>
  <hyperlinks>
    <hyperlink ref="C12" location="HL_Home" tooltip="Go to Table of Contents" display="HL_Home"/>
    <hyperlink ref="C13" location="HL_Sheet_Main_16" tooltip="Go to Previous Sheet" display="HL_Sheet_Main_16"/>
    <hyperlink ref="D13" location="HL_Sheet_Main_17" tooltip="Go to Next Sheet" display="HL_Sheet_Main_17"/>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6.xml><?xml version="1.0" encoding="utf-8"?>
<worksheet xmlns="http://schemas.openxmlformats.org/spreadsheetml/2006/main" xmlns:r="http://schemas.openxmlformats.org/officeDocument/2006/relationships">
  <sheetPr codeName="Sheet15">
    <pageSetUpPr autoPageBreaks="0"/>
  </sheetPr>
  <dimension ref="A1:Q207"/>
  <sheetViews>
    <sheetView showGridLines="0" zoomScaleNormal="100" workbookViewId="0">
      <pane xSplit="1" ySplit="13" topLeftCell="B14" activePane="bottomRight" state="frozen"/>
      <selection activeCell="Q57" sqref="Q57"/>
      <selection pane="topRight" activeCell="Q57" sqref="Q57"/>
      <selection pane="bottomLeft" activeCell="Q57" sqref="Q57"/>
      <selection pane="bottomRight"/>
    </sheetView>
  </sheetViews>
  <sheetFormatPr defaultRowHeight="10.5" outlineLevelRow="2"/>
  <cols>
    <col min="1" max="5" width="3.83203125" customWidth="1"/>
    <col min="6" max="254" width="11.83203125" customWidth="1"/>
  </cols>
  <sheetData>
    <row r="1" spans="1:17" ht="18">
      <c r="B1" s="1" t="s">
        <v>398</v>
      </c>
    </row>
    <row r="2" spans="1:17" ht="15">
      <c r="B2" s="2" t="str">
        <f>Model_Name</f>
        <v>SMA 8. Calculation Formulae - Best Practice Model Example</v>
      </c>
    </row>
    <row r="3" spans="1:17">
      <c r="B3" s="245" t="s">
        <v>49</v>
      </c>
      <c r="C3" s="245"/>
      <c r="D3" s="245"/>
      <c r="E3" s="245"/>
      <c r="F3" s="245"/>
    </row>
    <row r="4" spans="1:17" ht="12.75">
      <c r="A4" s="11" t="s">
        <v>52</v>
      </c>
      <c r="B4" s="12" t="s">
        <v>54</v>
      </c>
      <c r="C4" s="13" t="s">
        <v>103</v>
      </c>
      <c r="D4" s="238" t="s">
        <v>206</v>
      </c>
      <c r="E4" s="238" t="s">
        <v>207</v>
      </c>
      <c r="F4" s="14" t="s">
        <v>208</v>
      </c>
    </row>
    <row r="6" spans="1:17">
      <c r="B6" s="89" t="str">
        <f>IF(TS_Pers_In_Yr=1,"",TS_Per_Type_Name&amp;" Ending")</f>
        <v/>
      </c>
      <c r="J6" s="90" t="str">
        <f t="shared" ref="J6:Q6" si="0">IF(TS_Pers_In_Yr=1,"",LEFT(INDEX(LU_Mth_Names,MONTH(J9)),3)&amp;"-"&amp;RIGHT(YEAR(J9),2))&amp;" "</f>
        <v xml:space="preserve"> </v>
      </c>
      <c r="K6" s="90" t="str">
        <f t="shared" si="0"/>
        <v xml:space="preserve"> </v>
      </c>
      <c r="L6" s="90" t="str">
        <f t="shared" si="0"/>
        <v xml:space="preserve"> </v>
      </c>
      <c r="M6" s="90" t="str">
        <f t="shared" si="0"/>
        <v xml:space="preserve"> </v>
      </c>
      <c r="N6" s="90" t="str">
        <f t="shared" si="0"/>
        <v xml:space="preserve"> </v>
      </c>
      <c r="O6" s="90" t="str">
        <f t="shared" si="0"/>
        <v xml:space="preserve"> </v>
      </c>
      <c r="P6" s="90" t="str">
        <f t="shared" si="0"/>
        <v xml:space="preserve"> </v>
      </c>
      <c r="Q6" s="90" t="str">
        <f t="shared" si="0"/>
        <v xml:space="preserve"> </v>
      </c>
    </row>
    <row r="7" spans="1:17">
      <c r="B7" s="95" t="str">
        <f>IF(TS_Pers_In_Yr=1,Yr_Name&amp;" Ending "&amp;DAY(TS_Per_1_End_Date)&amp;" "&amp;INDEX(LU_Mth_Names,DD_TS_Fin_YE_Mth),TS_Per_Type_Name)</f>
        <v>Year Ending 31 December</v>
      </c>
      <c r="C7" s="18"/>
      <c r="D7" s="18"/>
      <c r="E7" s="18"/>
      <c r="F7" s="18"/>
      <c r="G7" s="18"/>
      <c r="H7" s="18"/>
      <c r="I7" s="18"/>
      <c r="J7" s="96" t="str">
        <f t="shared" ref="J7:Q7" si="1">IF(TS_Pers_In_Yr=1,J10&amp;" ",J11)&amp;IF(CB_TS_Show_Hist_Fcast_Pers,IF(J12&lt;=TS_Actual_Pers,TS_Actual_Per_Title,
IF(J12&lt;=TS_Actual_Pers+TS_Budget_Pers,TS_Budget_Per_Title,TS_Fcast_Per_Title))&amp;" ","")</f>
        <v xml:space="preserve">2010 (F) </v>
      </c>
      <c r="K7" s="96" t="str">
        <f t="shared" si="1"/>
        <v xml:space="preserve">2011 (F) </v>
      </c>
      <c r="L7" s="96" t="str">
        <f t="shared" si="1"/>
        <v xml:space="preserve">2012 (F) </v>
      </c>
      <c r="M7" s="96" t="str">
        <f t="shared" si="1"/>
        <v xml:space="preserve">2013 (F) </v>
      </c>
      <c r="N7" s="96" t="str">
        <f t="shared" si="1"/>
        <v xml:space="preserve">2014 (F) </v>
      </c>
      <c r="O7" s="96" t="str">
        <f t="shared" si="1"/>
        <v xml:space="preserve">2015 (F) </v>
      </c>
      <c r="P7" s="96" t="str">
        <f t="shared" si="1"/>
        <v xml:space="preserve">2016 (F) </v>
      </c>
      <c r="Q7" s="96" t="str">
        <f t="shared" si="1"/>
        <v xml:space="preserve">2017 (F) </v>
      </c>
    </row>
    <row r="8" spans="1:17" hidden="1" outlineLevel="2">
      <c r="B8" s="27" t="s">
        <v>223</v>
      </c>
      <c r="J8" s="91">
        <f t="shared" ref="J8:Q8" si="2">IF(J12=1,TS_Start_Date,I9+1)</f>
        <v>40179</v>
      </c>
      <c r="K8" s="91">
        <f t="shared" si="2"/>
        <v>40544</v>
      </c>
      <c r="L8" s="91">
        <f t="shared" si="2"/>
        <v>40909</v>
      </c>
      <c r="M8" s="91">
        <f t="shared" si="2"/>
        <v>41275</v>
      </c>
      <c r="N8" s="91">
        <f t="shared" si="2"/>
        <v>41640</v>
      </c>
      <c r="O8" s="91">
        <f t="shared" si="2"/>
        <v>42005</v>
      </c>
      <c r="P8" s="91">
        <f t="shared" si="2"/>
        <v>42370</v>
      </c>
      <c r="Q8" s="91">
        <f t="shared" si="2"/>
        <v>42736</v>
      </c>
    </row>
    <row r="9" spans="1:17" hidden="1" outlineLevel="2">
      <c r="B9" s="27" t="s">
        <v>224</v>
      </c>
      <c r="J9" s="91">
        <f t="shared" ref="J9:Q9" si="3">IF(J12=1,TS_Per_1_End_Date,
IF(TS_Mth_End,EOMONTH(EDATE(TS_Per_1_FY_Start_Date,(TS_Per_1_Number+J12-1)*TS_Mths_In_Per-1),0),
EDATE(TS_Per_1_FY_Start_Date,(TS_Per_1_Number+J12-1)*TS_Mths_In_Per)-1))</f>
        <v>40543</v>
      </c>
      <c r="K9" s="91">
        <f t="shared" si="3"/>
        <v>40908</v>
      </c>
      <c r="L9" s="91">
        <f t="shared" si="3"/>
        <v>41274</v>
      </c>
      <c r="M9" s="91">
        <f t="shared" si="3"/>
        <v>41639</v>
      </c>
      <c r="N9" s="91">
        <f t="shared" si="3"/>
        <v>42004</v>
      </c>
      <c r="O9" s="91">
        <f t="shared" si="3"/>
        <v>42369</v>
      </c>
      <c r="P9" s="91">
        <f t="shared" si="3"/>
        <v>42735</v>
      </c>
      <c r="Q9" s="91">
        <f t="shared" si="3"/>
        <v>43100</v>
      </c>
    </row>
    <row r="10" spans="1:17" hidden="1" outlineLevel="2">
      <c r="B10" s="27" t="s">
        <v>221</v>
      </c>
      <c r="J10" s="92">
        <f t="shared" ref="J10:Q10" si="4">YEAR(TS_Per_1_FY_End_Date)+INT((TS_Per_1_Number+J12-2)/TS_Pers_In_Yr)</f>
        <v>2010</v>
      </c>
      <c r="K10" s="92">
        <f t="shared" si="4"/>
        <v>2011</v>
      </c>
      <c r="L10" s="92">
        <f t="shared" si="4"/>
        <v>2012</v>
      </c>
      <c r="M10" s="92">
        <f t="shared" si="4"/>
        <v>2013</v>
      </c>
      <c r="N10" s="92">
        <f t="shared" si="4"/>
        <v>2014</v>
      </c>
      <c r="O10" s="92">
        <f t="shared" si="4"/>
        <v>2015</v>
      </c>
      <c r="P10" s="92">
        <f t="shared" si="4"/>
        <v>2016</v>
      </c>
      <c r="Q10" s="92">
        <f t="shared" si="4"/>
        <v>2017</v>
      </c>
    </row>
    <row r="11" spans="1:17" hidden="1" outlineLevel="2">
      <c r="B11" s="27" t="s">
        <v>222</v>
      </c>
      <c r="J11" s="93" t="str">
        <f t="shared" ref="J11:Q11" si="5">IF(TS_Pers_In_Yr=1,Yr_Name,TS_Per_Type_Prefix&amp;IF(MOD(TS_Per_1_Number+J12-1,TS_Pers_In_Yr)=0,TS_Pers_In_Yr,MOD(TS_Per_1_Number+J12-1,TS_Pers_In_Yr)))&amp;" "</f>
        <v xml:space="preserve">Year </v>
      </c>
      <c r="K11" s="93" t="str">
        <f t="shared" si="5"/>
        <v xml:space="preserve">Year </v>
      </c>
      <c r="L11" s="93" t="str">
        <f t="shared" si="5"/>
        <v xml:space="preserve">Year </v>
      </c>
      <c r="M11" s="93" t="str">
        <f t="shared" si="5"/>
        <v xml:space="preserve">Year </v>
      </c>
      <c r="N11" s="93" t="str">
        <f t="shared" si="5"/>
        <v xml:space="preserve">Year </v>
      </c>
      <c r="O11" s="93" t="str">
        <f t="shared" si="5"/>
        <v xml:space="preserve">Year </v>
      </c>
      <c r="P11" s="93" t="str">
        <f t="shared" si="5"/>
        <v xml:space="preserve">Year </v>
      </c>
      <c r="Q11" s="93" t="str">
        <f t="shared" si="5"/>
        <v xml:space="preserve">Year </v>
      </c>
    </row>
    <row r="12" spans="1:17" hidden="1" outlineLevel="2">
      <c r="B12" s="27" t="s">
        <v>225</v>
      </c>
      <c r="J12" s="94">
        <f>COLUMN(J12)-COLUMN($J12)+1</f>
        <v>1</v>
      </c>
      <c r="K12" s="94">
        <f t="shared" ref="K12:Q12" si="6">COLUMN(K12)-COLUMN($J12)+1</f>
        <v>2</v>
      </c>
      <c r="L12" s="94">
        <f t="shared" si="6"/>
        <v>3</v>
      </c>
      <c r="M12" s="94">
        <f t="shared" si="6"/>
        <v>4</v>
      </c>
      <c r="N12" s="94">
        <f t="shared" si="6"/>
        <v>5</v>
      </c>
      <c r="O12" s="94">
        <f t="shared" si="6"/>
        <v>6</v>
      </c>
      <c r="P12" s="94">
        <f t="shared" si="6"/>
        <v>7</v>
      </c>
      <c r="Q12" s="94">
        <f t="shared" si="6"/>
        <v>8</v>
      </c>
    </row>
    <row r="13" spans="1:17" hidden="1" outlineLevel="2">
      <c r="B13" s="97" t="s">
        <v>388</v>
      </c>
      <c r="C13" s="18"/>
      <c r="D13" s="18"/>
      <c r="E13" s="18"/>
      <c r="F13" s="18"/>
      <c r="G13" s="18"/>
      <c r="H13" s="18"/>
      <c r="I13" s="18"/>
      <c r="J13" s="98" t="str">
        <f>J10&amp;"-"&amp;J11</f>
        <v xml:space="preserve">2010-Year </v>
      </c>
      <c r="K13" s="98" t="str">
        <f t="shared" ref="K13:Q13" si="7">K10&amp;"-"&amp;K11</f>
        <v xml:space="preserve">2011-Year </v>
      </c>
      <c r="L13" s="98" t="str">
        <f t="shared" si="7"/>
        <v xml:space="preserve">2012-Year </v>
      </c>
      <c r="M13" s="98" t="str">
        <f t="shared" si="7"/>
        <v xml:space="preserve">2013-Year </v>
      </c>
      <c r="N13" s="98" t="str">
        <f t="shared" si="7"/>
        <v xml:space="preserve">2014-Year </v>
      </c>
      <c r="O13" s="98" t="str">
        <f t="shared" si="7"/>
        <v xml:space="preserve">2015-Year </v>
      </c>
      <c r="P13" s="98" t="str">
        <f t="shared" si="7"/>
        <v xml:space="preserve">2016-Year </v>
      </c>
      <c r="Q13" s="98" t="str">
        <f t="shared" si="7"/>
        <v xml:space="preserve">2017-Year </v>
      </c>
    </row>
    <row r="14" spans="1:17" collapsed="1"/>
    <row r="16" spans="1:17" ht="12.75">
      <c r="B16" s="126" t="s">
        <v>399</v>
      </c>
    </row>
    <row r="18" spans="2:17" s="16" customFormat="1">
      <c r="C18" s="5" t="str">
        <f>Fcast_TA!C18</f>
        <v>Revenue</v>
      </c>
      <c r="J18" s="100">
        <f>IF(J$12=1,Fcast_TA!J18,I18*(1+Fcast_TA!J18))</f>
        <v>125</v>
      </c>
      <c r="K18" s="100">
        <f>IF(K$12=1,Fcast_TA!K18,J18*(1+Fcast_TA!K18))</f>
        <v>128.125</v>
      </c>
      <c r="L18" s="100">
        <f>IF(L$12=1,Fcast_TA!L18,K18*(1+Fcast_TA!L18))</f>
        <v>131.328125</v>
      </c>
      <c r="M18" s="100">
        <f>IF(M$12=1,Fcast_TA!M18,L18*(1+Fcast_TA!M18))</f>
        <v>134.611328125</v>
      </c>
      <c r="N18" s="100">
        <f>IF(N$12=1,Fcast_TA!N18,M18*(1+Fcast_TA!N18))</f>
        <v>137.97661132812499</v>
      </c>
      <c r="O18" s="100">
        <f>IF(O$12=1,Fcast_TA!O18,N18*(1+Fcast_TA!O18))</f>
        <v>141.4260266113281</v>
      </c>
      <c r="P18" s="100">
        <f>IF(P$12=1,Fcast_TA!P18,O18*(1+Fcast_TA!P18))</f>
        <v>144.96167727661128</v>
      </c>
      <c r="Q18" s="100">
        <f>IF(Q$12=1,Fcast_TA!Q18,P18*(1+Fcast_TA!Q18))</f>
        <v>148.58571920852654</v>
      </c>
    </row>
    <row r="19" spans="2:17" s="16" customFormat="1">
      <c r="C19" s="5" t="str">
        <f>Fcast_TA!C19</f>
        <v>Cost of Goods Sold</v>
      </c>
      <c r="J19" s="100">
        <f>IF(J$12=1,Fcast_TA!J19,I19*(1+Fcast_TA!J19))</f>
        <v>25</v>
      </c>
      <c r="K19" s="100">
        <f>IF(K$12=1,Fcast_TA!K19,J19*(1+Fcast_TA!K19))</f>
        <v>25.624999999999996</v>
      </c>
      <c r="L19" s="100">
        <f>IF(L$12=1,Fcast_TA!L19,K19*(1+Fcast_TA!L19))</f>
        <v>26.265624999999993</v>
      </c>
      <c r="M19" s="100">
        <f>IF(M$12=1,Fcast_TA!M19,L19*(1+Fcast_TA!M19))</f>
        <v>26.922265624999991</v>
      </c>
      <c r="N19" s="100">
        <f>IF(N$12=1,Fcast_TA!N19,M19*(1+Fcast_TA!N19))</f>
        <v>27.59532226562499</v>
      </c>
      <c r="O19" s="100">
        <f>IF(O$12=1,Fcast_TA!O19,N19*(1+Fcast_TA!O19))</f>
        <v>28.285205322265611</v>
      </c>
      <c r="P19" s="100">
        <f>IF(P$12=1,Fcast_TA!P19,O19*(1+Fcast_TA!P19))</f>
        <v>28.992335455322248</v>
      </c>
      <c r="Q19" s="100">
        <f>IF(Q$12=1,Fcast_TA!Q19,P19*(1+Fcast_TA!Q19))</f>
        <v>29.717143841705301</v>
      </c>
    </row>
    <row r="20" spans="2:17" s="16" customFormat="1">
      <c r="C20" s="5" t="str">
        <f>Fcast_TA!C20</f>
        <v>Operating Expenditure</v>
      </c>
      <c r="J20" s="100">
        <f>IF(J$12=1,Fcast_TA!J20,I20*(1+Fcast_TA!J20))</f>
        <v>40</v>
      </c>
      <c r="K20" s="100">
        <f>IF(K$12=1,Fcast_TA!K20,J20*(1+Fcast_TA!K20))</f>
        <v>41</v>
      </c>
      <c r="L20" s="100">
        <f>IF(L$12=1,Fcast_TA!L20,K20*(1+Fcast_TA!L20))</f>
        <v>42.024999999999999</v>
      </c>
      <c r="M20" s="100">
        <f>IF(M$12=1,Fcast_TA!M20,L20*(1+Fcast_TA!M20))</f>
        <v>43.075624999999995</v>
      </c>
      <c r="N20" s="100">
        <f>IF(N$12=1,Fcast_TA!N20,M20*(1+Fcast_TA!N20))</f>
        <v>44.152515624999992</v>
      </c>
      <c r="O20" s="100">
        <f>IF(O$12=1,Fcast_TA!O20,N20*(1+Fcast_TA!O20))</f>
        <v>45.256328515624986</v>
      </c>
      <c r="P20" s="100">
        <f>IF(P$12=1,Fcast_TA!P20,O20*(1+Fcast_TA!P20))</f>
        <v>46.387736728515605</v>
      </c>
      <c r="Q20" s="100">
        <f>IF(Q$12=1,Fcast_TA!Q20,P20*(1+Fcast_TA!Q20))</f>
        <v>47.547430146728495</v>
      </c>
    </row>
    <row r="21" spans="2:17" s="16" customFormat="1">
      <c r="C21" s="5" t="str">
        <f>Fcast_TA!C21</f>
        <v>Capital Expenditure - Assets</v>
      </c>
      <c r="J21" s="100">
        <f>IF(J$12=1,Fcast_TA!J21,I21*(1+Fcast_TA!J21))</f>
        <v>15</v>
      </c>
      <c r="K21" s="100">
        <f>IF(K$12=1,Fcast_TA!K21,J21*(1+Fcast_TA!K21))</f>
        <v>15.374999999999998</v>
      </c>
      <c r="L21" s="100">
        <f>IF(L$12=1,Fcast_TA!L21,K21*(1+Fcast_TA!L21))</f>
        <v>15.759374999999997</v>
      </c>
      <c r="M21" s="100">
        <f>IF(M$12=1,Fcast_TA!M21,L21*(1+Fcast_TA!M21))</f>
        <v>16.153359374999994</v>
      </c>
      <c r="N21" s="100">
        <f>IF(N$12=1,Fcast_TA!N21,M21*(1+Fcast_TA!N21))</f>
        <v>16.557193359374992</v>
      </c>
      <c r="O21" s="100">
        <f>IF(O$12=1,Fcast_TA!O21,N21*(1+Fcast_TA!O21))</f>
        <v>16.971123193359364</v>
      </c>
      <c r="P21" s="100">
        <f>IF(P$12=1,Fcast_TA!P21,O21*(1+Fcast_TA!P21))</f>
        <v>17.395401273193347</v>
      </c>
      <c r="Q21" s="100">
        <f>IF(Q$12=1,Fcast_TA!Q21,P21*(1+Fcast_TA!Q21))</f>
        <v>17.830286305023179</v>
      </c>
    </row>
    <row r="22" spans="2:17" s="16" customFormat="1">
      <c r="C22" s="5" t="str">
        <f>Fcast_TA!C22</f>
        <v>Capital Expenditure - Intangibles</v>
      </c>
      <c r="J22" s="100">
        <f>IF(J$12=1,Fcast_TA!J22,I22*(1+Fcast_TA!J22))</f>
        <v>2.5</v>
      </c>
      <c r="K22" s="100">
        <f>IF(K$12=1,Fcast_TA!K22,J22*(1+Fcast_TA!K22))</f>
        <v>2.5625</v>
      </c>
      <c r="L22" s="100">
        <f>IF(L$12=1,Fcast_TA!L22,K22*(1+Fcast_TA!L22))</f>
        <v>2.6265624999999999</v>
      </c>
      <c r="M22" s="100">
        <f>IF(M$12=1,Fcast_TA!M22,L22*(1+Fcast_TA!M22))</f>
        <v>2.6922265624999997</v>
      </c>
      <c r="N22" s="100">
        <f>IF(N$12=1,Fcast_TA!N22,M22*(1+Fcast_TA!N22))</f>
        <v>2.7595322265624995</v>
      </c>
      <c r="O22" s="100">
        <f>IF(O$12=1,Fcast_TA!O22,N22*(1+Fcast_TA!O22))</f>
        <v>2.8285205322265616</v>
      </c>
      <c r="P22" s="100">
        <f>IF(P$12=1,Fcast_TA!P22,O22*(1+Fcast_TA!P22))</f>
        <v>2.8992335455322253</v>
      </c>
      <c r="Q22" s="100">
        <f>IF(Q$12=1,Fcast_TA!Q22,P22*(1+Fcast_TA!Q22))</f>
        <v>2.9717143841705309</v>
      </c>
    </row>
    <row r="23" spans="2:17" s="16" customFormat="1">
      <c r="C23" s="5"/>
      <c r="J23" s="100"/>
      <c r="K23" s="100"/>
      <c r="L23" s="100"/>
      <c r="M23" s="100"/>
      <c r="N23" s="100"/>
      <c r="O23" s="100"/>
      <c r="P23" s="100"/>
      <c r="Q23" s="100"/>
    </row>
    <row r="24" spans="2:17">
      <c r="K24" s="16"/>
      <c r="L24" s="16"/>
      <c r="M24" s="16"/>
      <c r="N24" s="16"/>
      <c r="O24" s="16"/>
      <c r="P24" s="16"/>
      <c r="Q24" s="16"/>
    </row>
    <row r="25" spans="2:17" ht="12.75">
      <c r="B25" s="126" t="s">
        <v>413</v>
      </c>
      <c r="K25" s="16"/>
      <c r="L25" s="16"/>
      <c r="M25" s="16"/>
      <c r="N25" s="16"/>
      <c r="O25" s="16"/>
      <c r="P25" s="16"/>
      <c r="Q25" s="16"/>
    </row>
    <row r="26" spans="2:17" s="16" customFormat="1" ht="12.75">
      <c r="B26" s="24"/>
    </row>
    <row r="27" spans="2:17" ht="11.25">
      <c r="C27" s="132" t="str">
        <f>"Accounts Receivable Balances ("&amp;INDEX(LU_Denom,DD_TS_Denom)&amp;")"</f>
        <v>Accounts Receivable Balances ($Millions)</v>
      </c>
      <c r="I27" s="16"/>
      <c r="K27" s="16"/>
      <c r="L27" s="16"/>
      <c r="M27" s="16"/>
      <c r="N27" s="16"/>
      <c r="O27" s="16"/>
      <c r="P27" s="16"/>
      <c r="Q27" s="16"/>
    </row>
    <row r="28" spans="2:17">
      <c r="K28" s="16"/>
      <c r="L28" s="16"/>
      <c r="M28" s="16"/>
      <c r="N28" s="16"/>
      <c r="O28" s="16"/>
      <c r="P28" s="16"/>
      <c r="Q28" s="16"/>
    </row>
    <row r="29" spans="2:17">
      <c r="D29" s="114" t="s">
        <v>247</v>
      </c>
      <c r="J29" s="100">
        <f>IF(J$12=1,Fcast_TA!$I$31,I33)</f>
        <v>21</v>
      </c>
      <c r="K29" s="100">
        <f>IF(K$12=1,Fcast_TA!$I$31,J33)</f>
        <v>10.273972602739725</v>
      </c>
      <c r="L29" s="100">
        <f>IF(L$12=1,Fcast_TA!$I$31,K33)</f>
        <v>10.530821917808218</v>
      </c>
      <c r="M29" s="100">
        <f>IF(M$12=1,Fcast_TA!$I$31,L33)</f>
        <v>10.764600409836065</v>
      </c>
      <c r="N29" s="100">
        <f>IF(N$12=1,Fcast_TA!$I$31,M33)</f>
        <v>11.063944777397261</v>
      </c>
      <c r="O29" s="100">
        <f>IF(O$12=1,Fcast_TA!$I$31,N33)</f>
        <v>11.340543396832192</v>
      </c>
      <c r="P29" s="100">
        <f>IF(P$12=1,Fcast_TA!$I$31,O33)</f>
        <v>11.624056981752995</v>
      </c>
      <c r="Q29" s="100">
        <f>IF(Q$12=1,Fcast_TA!$I$31,P33)</f>
        <v>11.882104694804204</v>
      </c>
    </row>
    <row r="30" spans="2:17">
      <c r="D30" s="5" t="str">
        <f>C18</f>
        <v>Revenue</v>
      </c>
      <c r="J30" s="100">
        <f>J18</f>
        <v>125</v>
      </c>
      <c r="K30" s="100">
        <f t="shared" ref="K30:Q30" si="8">K18</f>
        <v>128.125</v>
      </c>
      <c r="L30" s="100">
        <f t="shared" si="8"/>
        <v>131.328125</v>
      </c>
      <c r="M30" s="100">
        <f t="shared" si="8"/>
        <v>134.611328125</v>
      </c>
      <c r="N30" s="100">
        <f t="shared" si="8"/>
        <v>137.97661132812499</v>
      </c>
      <c r="O30" s="100">
        <f t="shared" si="8"/>
        <v>141.4260266113281</v>
      </c>
      <c r="P30" s="100">
        <f t="shared" si="8"/>
        <v>144.96167727661128</v>
      </c>
      <c r="Q30" s="100">
        <f t="shared" si="8"/>
        <v>148.58571920852654</v>
      </c>
    </row>
    <row r="31" spans="2:17" s="22" customFormat="1">
      <c r="D31" s="182" t="s">
        <v>240</v>
      </c>
      <c r="J31" s="128">
        <f t="shared" ref="J31" si="9">J33-SUM(J29:J30)</f>
        <v>-135.72602739726028</v>
      </c>
      <c r="K31" s="128">
        <f t="shared" ref="K31:Q31" si="10">K33-SUM(K29:K30)</f>
        <v>-127.86815068493149</v>
      </c>
      <c r="L31" s="128">
        <f t="shared" si="10"/>
        <v>-131.09434650797215</v>
      </c>
      <c r="M31" s="128">
        <f t="shared" si="10"/>
        <v>-134.31198375743881</v>
      </c>
      <c r="N31" s="128">
        <f t="shared" si="10"/>
        <v>-137.70001270869005</v>
      </c>
      <c r="O31" s="128">
        <f t="shared" si="10"/>
        <v>-141.1425130264073</v>
      </c>
      <c r="P31" s="128">
        <f t="shared" si="10"/>
        <v>-144.70362956356007</v>
      </c>
      <c r="Q31" s="128">
        <f t="shared" si="10"/>
        <v>-148.25529903687652</v>
      </c>
    </row>
    <row r="32" spans="2:17" s="16" customFormat="1" hidden="1" outlineLevel="2">
      <c r="D32" s="183" t="s">
        <v>491</v>
      </c>
      <c r="J32" s="133">
        <f t="shared" ref="J32" si="11">SUM(J30:J31)</f>
        <v>-10.726027397260282</v>
      </c>
      <c r="K32" s="133">
        <f t="shared" ref="K32:Q32" si="12">SUM(K30:K31)</f>
        <v>0.25684931506850717</v>
      </c>
      <c r="L32" s="133">
        <f t="shared" si="12"/>
        <v>0.23377849202785228</v>
      </c>
      <c r="M32" s="133">
        <f t="shared" si="12"/>
        <v>0.29934436756118998</v>
      </c>
      <c r="N32" s="133">
        <f t="shared" si="12"/>
        <v>0.27659861943493524</v>
      </c>
      <c r="O32" s="133">
        <f t="shared" si="12"/>
        <v>0.28351358492079726</v>
      </c>
      <c r="P32" s="133">
        <f t="shared" si="12"/>
        <v>0.25804771305121221</v>
      </c>
      <c r="Q32" s="133">
        <f t="shared" si="12"/>
        <v>0.3304201716500188</v>
      </c>
    </row>
    <row r="33" spans="3:17" collapsed="1">
      <c r="D33" s="115" t="s">
        <v>411</v>
      </c>
      <c r="J33" s="134">
        <f>J30*J36/(J$9-J$8+1)</f>
        <v>10.273972602739725</v>
      </c>
      <c r="K33" s="134">
        <f t="shared" ref="K33:Q33" si="13">K30*K36/(K$9-K$8+1)</f>
        <v>10.530821917808218</v>
      </c>
      <c r="L33" s="134">
        <f t="shared" si="13"/>
        <v>10.764600409836065</v>
      </c>
      <c r="M33" s="134">
        <f t="shared" si="13"/>
        <v>11.063944777397261</v>
      </c>
      <c r="N33" s="134">
        <f t="shared" si="13"/>
        <v>11.340543396832192</v>
      </c>
      <c r="O33" s="134">
        <f t="shared" si="13"/>
        <v>11.624056981752995</v>
      </c>
      <c r="P33" s="134">
        <f t="shared" si="13"/>
        <v>11.882104694804204</v>
      </c>
      <c r="Q33" s="134">
        <f t="shared" si="13"/>
        <v>12.212524866454237</v>
      </c>
    </row>
    <row r="35" spans="3:17">
      <c r="D35" s="124" t="str">
        <f>"Closing Balance Periodic Growth (% per "&amp;INDEX(LU_Period_Type_Names,MATCH(TS_Periodicity,LU_Periodicity,0))&amp;")"</f>
        <v>Closing Balance Periodic Growth (% per Year)</v>
      </c>
      <c r="K35" s="195">
        <f>IF(ISERROR(K33/J33),"N/A",ROUND(K33/J33-1,5))</f>
        <v>2.5000000000000001E-2</v>
      </c>
      <c r="L35" s="195">
        <f t="shared" ref="L35:Q35" si="14">IF(ISERROR(L33/K33),"N/A",ROUND(L33/K33-1,5))</f>
        <v>2.2200000000000001E-2</v>
      </c>
      <c r="M35" s="195">
        <f t="shared" si="14"/>
        <v>2.7810000000000001E-2</v>
      </c>
      <c r="N35" s="195">
        <f t="shared" si="14"/>
        <v>2.5000000000000001E-2</v>
      </c>
      <c r="O35" s="195">
        <f t="shared" si="14"/>
        <v>2.5000000000000001E-2</v>
      </c>
      <c r="P35" s="195">
        <f t="shared" si="14"/>
        <v>2.2200000000000001E-2</v>
      </c>
      <c r="Q35" s="195">
        <f t="shared" si="14"/>
        <v>2.7810000000000001E-2</v>
      </c>
    </row>
    <row r="36" spans="3:17">
      <c r="D36" s="183" t="s">
        <v>409</v>
      </c>
      <c r="J36" s="122">
        <f>Fcast_TA!J31</f>
        <v>30</v>
      </c>
      <c r="K36" s="122">
        <f>Fcast_TA!K31</f>
        <v>30</v>
      </c>
      <c r="L36" s="122">
        <f>Fcast_TA!L31</f>
        <v>30</v>
      </c>
      <c r="M36" s="122">
        <f>Fcast_TA!M31</f>
        <v>30</v>
      </c>
      <c r="N36" s="122">
        <f>Fcast_TA!N31</f>
        <v>30</v>
      </c>
      <c r="O36" s="122">
        <f>Fcast_TA!O31</f>
        <v>30</v>
      </c>
      <c r="P36" s="122">
        <f>Fcast_TA!P31</f>
        <v>30</v>
      </c>
      <c r="Q36" s="122">
        <f>Fcast_TA!Q31</f>
        <v>30</v>
      </c>
    </row>
    <row r="38" spans="3:17" hidden="1" outlineLevel="2">
      <c r="E38" s="114" t="s">
        <v>241</v>
      </c>
      <c r="J38" s="101">
        <f t="shared" ref="J38:Q38" si="15">IF(ISERROR(J29+J32-J33),1,0)</f>
        <v>0</v>
      </c>
      <c r="K38" s="101">
        <f t="shared" si="15"/>
        <v>0</v>
      </c>
      <c r="L38" s="101">
        <f t="shared" si="15"/>
        <v>0</v>
      </c>
      <c r="M38" s="101">
        <f t="shared" si="15"/>
        <v>0</v>
      </c>
      <c r="N38" s="101">
        <f t="shared" si="15"/>
        <v>0</v>
      </c>
      <c r="O38" s="101">
        <f t="shared" si="15"/>
        <v>0</v>
      </c>
      <c r="P38" s="101">
        <f t="shared" si="15"/>
        <v>0</v>
      </c>
      <c r="Q38" s="101">
        <f t="shared" si="15"/>
        <v>0</v>
      </c>
    </row>
    <row r="39" spans="3:17" hidden="1" outlineLevel="2">
      <c r="E39" s="114" t="s">
        <v>242</v>
      </c>
      <c r="J39" s="108">
        <f t="shared" ref="J39:Q39" si="16">IF(J38&lt;&gt;0,0,(ROUND(J29+J32-J33,5)&lt;&gt;0)*1)</f>
        <v>0</v>
      </c>
      <c r="K39" s="108">
        <f t="shared" si="16"/>
        <v>0</v>
      </c>
      <c r="L39" s="108">
        <f t="shared" si="16"/>
        <v>0</v>
      </c>
      <c r="M39" s="108">
        <f t="shared" si="16"/>
        <v>0</v>
      </c>
      <c r="N39" s="108">
        <f t="shared" si="16"/>
        <v>0</v>
      </c>
      <c r="O39" s="108">
        <f t="shared" si="16"/>
        <v>0</v>
      </c>
      <c r="P39" s="108">
        <f t="shared" si="16"/>
        <v>0</v>
      </c>
      <c r="Q39" s="108">
        <f t="shared" si="16"/>
        <v>0</v>
      </c>
    </row>
    <row r="40" spans="3:17" hidden="1" outlineLevel="2">
      <c r="E40" s="114" t="s">
        <v>243</v>
      </c>
      <c r="J40" s="108">
        <f t="shared" ref="J40:Q40" si="17">IF(ISERROR(J31),0,(ROUND(MAX(J31),5)&gt;0)*1)</f>
        <v>0</v>
      </c>
      <c r="K40" s="108">
        <f t="shared" si="17"/>
        <v>0</v>
      </c>
      <c r="L40" s="108">
        <f t="shared" si="17"/>
        <v>0</v>
      </c>
      <c r="M40" s="108">
        <f t="shared" si="17"/>
        <v>0</v>
      </c>
      <c r="N40" s="108">
        <f t="shared" si="17"/>
        <v>0</v>
      </c>
      <c r="O40" s="108">
        <f t="shared" si="17"/>
        <v>0</v>
      </c>
      <c r="P40" s="108">
        <f t="shared" si="17"/>
        <v>0</v>
      </c>
      <c r="Q40" s="108">
        <f t="shared" si="17"/>
        <v>0</v>
      </c>
    </row>
    <row r="41" spans="3:17" hidden="1" outlineLevel="2">
      <c r="E41" s="114" t="s">
        <v>244</v>
      </c>
      <c r="J41" s="131">
        <f t="shared" ref="J41:Q41" si="18">IF(ISERROR(J33),0,(ROUND(MIN(J33),5)&lt;0)*1)</f>
        <v>0</v>
      </c>
      <c r="K41" s="131">
        <f t="shared" si="18"/>
        <v>0</v>
      </c>
      <c r="L41" s="131">
        <f t="shared" si="18"/>
        <v>0</v>
      </c>
      <c r="M41" s="131">
        <f t="shared" si="18"/>
        <v>0</v>
      </c>
      <c r="N41" s="131">
        <f t="shared" si="18"/>
        <v>0</v>
      </c>
      <c r="O41" s="131">
        <f t="shared" si="18"/>
        <v>0</v>
      </c>
      <c r="P41" s="131">
        <f t="shared" si="18"/>
        <v>0</v>
      </c>
      <c r="Q41" s="131">
        <f t="shared" si="18"/>
        <v>0</v>
      </c>
    </row>
    <row r="42" spans="3:17" collapsed="1">
      <c r="D42" s="114" t="s">
        <v>412</v>
      </c>
      <c r="I42" s="104">
        <f>IF(ISERROR(SUM(J42:Q42)),0,MIN(SUM(J42:Q42),1))</f>
        <v>0</v>
      </c>
      <c r="J42" s="101">
        <f t="shared" ref="J42:Q42" si="19">MIN(SUM(J38:J41),1)</f>
        <v>0</v>
      </c>
      <c r="K42" s="101">
        <f t="shared" si="19"/>
        <v>0</v>
      </c>
      <c r="L42" s="101">
        <f t="shared" si="19"/>
        <v>0</v>
      </c>
      <c r="M42" s="101">
        <f t="shared" si="19"/>
        <v>0</v>
      </c>
      <c r="N42" s="101">
        <f t="shared" si="19"/>
        <v>0</v>
      </c>
      <c r="O42" s="101">
        <f t="shared" si="19"/>
        <v>0</v>
      </c>
      <c r="P42" s="101">
        <f t="shared" si="19"/>
        <v>0</v>
      </c>
      <c r="Q42" s="101">
        <f t="shared" si="19"/>
        <v>0</v>
      </c>
    </row>
    <row r="44" spans="3:17" s="16" customFormat="1" ht="11.25">
      <c r="C44" s="132" t="str">
        <f>"Accounts Payable Balances ("&amp;INDEX(LU_Denom,DD_TS_Denom)&amp;")"</f>
        <v>Accounts Payable Balances ($Millions)</v>
      </c>
    </row>
    <row r="45" spans="3:17" s="16" customFormat="1" ht="11.25">
      <c r="C45" s="132"/>
    </row>
    <row r="46" spans="3:17">
      <c r="D46" s="114" t="s">
        <v>247</v>
      </c>
      <c r="J46" s="100">
        <f>IF(J$12=1,Fcast_TA!$I$32,I50)</f>
        <v>16</v>
      </c>
      <c r="K46" s="100">
        <f>IF(K$12=1,Fcast_TA!$I$32,J50)</f>
        <v>8.0136986301369859</v>
      </c>
      <c r="L46" s="100">
        <f>IF(L$12=1,Fcast_TA!$I$32,K50)</f>
        <v>8.2140410958904102</v>
      </c>
      <c r="M46" s="100">
        <f>IF(M$12=1,Fcast_TA!$I$32,L50)</f>
        <v>8.3963883196721305</v>
      </c>
      <c r="N46" s="100">
        <f>IF(N$12=1,Fcast_TA!$I$32,M50)</f>
        <v>8.629876926369862</v>
      </c>
      <c r="O46" s="100">
        <f>IF(O$12=1,Fcast_TA!$I$32,N50)</f>
        <v>8.8456238495291082</v>
      </c>
      <c r="P46" s="100">
        <f>IF(P$12=1,Fcast_TA!$I$32,O50)</f>
        <v>9.0667644457673351</v>
      </c>
      <c r="Q46" s="100">
        <f>IF(Q$12=1,Fcast_TA!$I$32,P50)</f>
        <v>9.2680416619472759</v>
      </c>
    </row>
    <row r="47" spans="3:17">
      <c r="D47" s="175" t="s">
        <v>477</v>
      </c>
      <c r="J47" s="100">
        <f>SUM(J19:J20)</f>
        <v>65</v>
      </c>
      <c r="K47" s="100">
        <f t="shared" ref="K47:Q47" si="20">SUM(K19:K20)</f>
        <v>66.625</v>
      </c>
      <c r="L47" s="100">
        <f t="shared" si="20"/>
        <v>68.290624999999991</v>
      </c>
      <c r="M47" s="100">
        <f t="shared" si="20"/>
        <v>69.997890624999982</v>
      </c>
      <c r="N47" s="100">
        <f t="shared" si="20"/>
        <v>71.747837890624979</v>
      </c>
      <c r="O47" s="100">
        <f t="shared" si="20"/>
        <v>73.541533837890597</v>
      </c>
      <c r="P47" s="100">
        <f t="shared" si="20"/>
        <v>75.380072183837854</v>
      </c>
      <c r="Q47" s="100">
        <f t="shared" si="20"/>
        <v>77.264573988433796</v>
      </c>
    </row>
    <row r="48" spans="3:17" s="22" customFormat="1">
      <c r="D48" s="182" t="s">
        <v>245</v>
      </c>
      <c r="J48" s="128">
        <f t="shared" ref="J48:Q48" si="21">J50-SUM(J46:J47)</f>
        <v>-72.986301369863014</v>
      </c>
      <c r="K48" s="128">
        <f t="shared" si="21"/>
        <v>-66.424657534246577</v>
      </c>
      <c r="L48" s="128">
        <f t="shared" si="21"/>
        <v>-68.108277776218273</v>
      </c>
      <c r="M48" s="128">
        <f t="shared" si="21"/>
        <v>-69.764402018302249</v>
      </c>
      <c r="N48" s="128">
        <f t="shared" si="21"/>
        <v>-71.532090967465734</v>
      </c>
      <c r="O48" s="128">
        <f t="shared" si="21"/>
        <v>-73.320393241652368</v>
      </c>
      <c r="P48" s="128">
        <f t="shared" si="21"/>
        <v>-75.178794967657907</v>
      </c>
      <c r="Q48" s="128">
        <f t="shared" si="21"/>
        <v>-77.006846254546772</v>
      </c>
    </row>
    <row r="49" spans="2:17" s="16" customFormat="1" hidden="1" outlineLevel="2">
      <c r="D49" s="183" t="s">
        <v>492</v>
      </c>
      <c r="J49" s="133">
        <f t="shared" ref="J49:Q49" si="22">SUM(J47:J48)</f>
        <v>-7.9863013698630141</v>
      </c>
      <c r="K49" s="133">
        <f t="shared" si="22"/>
        <v>0.20034246575342252</v>
      </c>
      <c r="L49" s="133">
        <f t="shared" si="22"/>
        <v>0.18234722378171853</v>
      </c>
      <c r="M49" s="133">
        <f t="shared" si="22"/>
        <v>0.2334886066977333</v>
      </c>
      <c r="N49" s="133">
        <f t="shared" si="22"/>
        <v>0.21574692315924437</v>
      </c>
      <c r="O49" s="133">
        <f t="shared" si="22"/>
        <v>0.22114059623822868</v>
      </c>
      <c r="P49" s="133">
        <f t="shared" si="22"/>
        <v>0.20127721617994609</v>
      </c>
      <c r="Q49" s="133">
        <f t="shared" si="22"/>
        <v>0.25772773388702319</v>
      </c>
    </row>
    <row r="50" spans="2:17" collapsed="1">
      <c r="D50" s="115" t="s">
        <v>411</v>
      </c>
      <c r="J50" s="134">
        <f>J47*J53/(J$9-J$8+1)</f>
        <v>8.0136986301369859</v>
      </c>
      <c r="K50" s="134">
        <f t="shared" ref="K50:Q50" si="23">K47*K53/(K$9-K$8+1)</f>
        <v>8.2140410958904102</v>
      </c>
      <c r="L50" s="134">
        <f t="shared" si="23"/>
        <v>8.3963883196721305</v>
      </c>
      <c r="M50" s="134">
        <f t="shared" si="23"/>
        <v>8.629876926369862</v>
      </c>
      <c r="N50" s="134">
        <f t="shared" si="23"/>
        <v>8.8456238495291082</v>
      </c>
      <c r="O50" s="134">
        <f t="shared" si="23"/>
        <v>9.0667644457673351</v>
      </c>
      <c r="P50" s="134">
        <f t="shared" si="23"/>
        <v>9.2680416619472759</v>
      </c>
      <c r="Q50" s="134">
        <f t="shared" si="23"/>
        <v>9.5257693958343044</v>
      </c>
    </row>
    <row r="52" spans="2:17">
      <c r="D52" s="124" t="str">
        <f>"Closing Balance Periodic Growth (% per "&amp;INDEX(LU_Period_Type_Names,MATCH(TS_Periodicity,LU_Periodicity,0))&amp;")"</f>
        <v>Closing Balance Periodic Growth (% per Year)</v>
      </c>
      <c r="K52" s="195">
        <f>IF(ISERROR(K50/J50),"N/A",ROUND(K50/J50-1,5))</f>
        <v>2.5000000000000001E-2</v>
      </c>
      <c r="L52" s="195">
        <f t="shared" ref="L52:Q52" si="24">IF(ISERROR(L50/K50),"N/A",ROUND(L50/K50-1,5))</f>
        <v>2.2200000000000001E-2</v>
      </c>
      <c r="M52" s="195">
        <f t="shared" si="24"/>
        <v>2.7810000000000001E-2</v>
      </c>
      <c r="N52" s="195">
        <f t="shared" si="24"/>
        <v>2.5000000000000001E-2</v>
      </c>
      <c r="O52" s="195">
        <f t="shared" si="24"/>
        <v>2.5000000000000001E-2</v>
      </c>
      <c r="P52" s="195">
        <f t="shared" si="24"/>
        <v>2.2200000000000001E-2</v>
      </c>
      <c r="Q52" s="195">
        <f t="shared" si="24"/>
        <v>2.7810000000000001E-2</v>
      </c>
    </row>
    <row r="53" spans="2:17">
      <c r="D53" s="183" t="s">
        <v>410</v>
      </c>
      <c r="J53" s="122">
        <f>Fcast_TA!J32</f>
        <v>45</v>
      </c>
      <c r="K53" s="122">
        <f>Fcast_TA!K32</f>
        <v>45</v>
      </c>
      <c r="L53" s="122">
        <f>Fcast_TA!L32</f>
        <v>45</v>
      </c>
      <c r="M53" s="122">
        <f>Fcast_TA!M32</f>
        <v>45</v>
      </c>
      <c r="N53" s="122">
        <f>Fcast_TA!N32</f>
        <v>45</v>
      </c>
      <c r="O53" s="122">
        <f>Fcast_TA!O32</f>
        <v>45</v>
      </c>
      <c r="P53" s="122">
        <f>Fcast_TA!P32</f>
        <v>45</v>
      </c>
      <c r="Q53" s="122">
        <f>Fcast_TA!Q32</f>
        <v>45</v>
      </c>
    </row>
    <row r="55" spans="2:17" hidden="1" outlineLevel="2">
      <c r="E55" s="114" t="s">
        <v>241</v>
      </c>
      <c r="J55" s="101">
        <f t="shared" ref="J55:Q55" si="25">IF(ISERROR(J46+J49-J50),1,0)</f>
        <v>0</v>
      </c>
      <c r="K55" s="101">
        <f t="shared" si="25"/>
        <v>0</v>
      </c>
      <c r="L55" s="101">
        <f t="shared" si="25"/>
        <v>0</v>
      </c>
      <c r="M55" s="101">
        <f t="shared" si="25"/>
        <v>0</v>
      </c>
      <c r="N55" s="101">
        <f t="shared" si="25"/>
        <v>0</v>
      </c>
      <c r="O55" s="101">
        <f t="shared" si="25"/>
        <v>0</v>
      </c>
      <c r="P55" s="101">
        <f t="shared" si="25"/>
        <v>0</v>
      </c>
      <c r="Q55" s="101">
        <f t="shared" si="25"/>
        <v>0</v>
      </c>
    </row>
    <row r="56" spans="2:17" hidden="1" outlineLevel="2">
      <c r="E56" s="114" t="s">
        <v>242</v>
      </c>
      <c r="J56" s="108">
        <f t="shared" ref="J56:Q56" si="26">IF(J55&lt;&gt;0,0,(ROUND(J46+J49-J50,5)&lt;&gt;0)*1)</f>
        <v>0</v>
      </c>
      <c r="K56" s="108">
        <f t="shared" si="26"/>
        <v>0</v>
      </c>
      <c r="L56" s="108">
        <f t="shared" si="26"/>
        <v>0</v>
      </c>
      <c r="M56" s="108">
        <f t="shared" si="26"/>
        <v>0</v>
      </c>
      <c r="N56" s="108">
        <f t="shared" si="26"/>
        <v>0</v>
      </c>
      <c r="O56" s="108">
        <f t="shared" si="26"/>
        <v>0</v>
      </c>
      <c r="P56" s="108">
        <f t="shared" si="26"/>
        <v>0</v>
      </c>
      <c r="Q56" s="108">
        <f t="shared" si="26"/>
        <v>0</v>
      </c>
    </row>
    <row r="57" spans="2:17" hidden="1" outlineLevel="2">
      <c r="E57" s="114" t="s">
        <v>246</v>
      </c>
      <c r="J57" s="108">
        <f t="shared" ref="J57:Q57" si="27">IF(ISERROR(J48),0,(ROUND(MAX(J48),5)&gt;0)*1)</f>
        <v>0</v>
      </c>
      <c r="K57" s="108">
        <f t="shared" si="27"/>
        <v>0</v>
      </c>
      <c r="L57" s="108">
        <f t="shared" si="27"/>
        <v>0</v>
      </c>
      <c r="M57" s="108">
        <f t="shared" si="27"/>
        <v>0</v>
      </c>
      <c r="N57" s="108">
        <f t="shared" si="27"/>
        <v>0</v>
      </c>
      <c r="O57" s="108">
        <f t="shared" si="27"/>
        <v>0</v>
      </c>
      <c r="P57" s="108">
        <f t="shared" si="27"/>
        <v>0</v>
      </c>
      <c r="Q57" s="108">
        <f t="shared" si="27"/>
        <v>0</v>
      </c>
    </row>
    <row r="58" spans="2:17" hidden="1" outlineLevel="2">
      <c r="E58" s="114" t="s">
        <v>244</v>
      </c>
      <c r="J58" s="131">
        <f t="shared" ref="J58:Q58" si="28">IF(ISERROR(J50),0,(ROUND(MIN(J50),5)&lt;0)*1)</f>
        <v>0</v>
      </c>
      <c r="K58" s="131">
        <f t="shared" si="28"/>
        <v>0</v>
      </c>
      <c r="L58" s="131">
        <f t="shared" si="28"/>
        <v>0</v>
      </c>
      <c r="M58" s="131">
        <f t="shared" si="28"/>
        <v>0</v>
      </c>
      <c r="N58" s="131">
        <f t="shared" si="28"/>
        <v>0</v>
      </c>
      <c r="O58" s="131">
        <f t="shared" si="28"/>
        <v>0</v>
      </c>
      <c r="P58" s="131">
        <f t="shared" si="28"/>
        <v>0</v>
      </c>
      <c r="Q58" s="131">
        <f t="shared" si="28"/>
        <v>0</v>
      </c>
    </row>
    <row r="59" spans="2:17" collapsed="1">
      <c r="D59" s="114" t="s">
        <v>412</v>
      </c>
      <c r="I59" s="104">
        <f>IF(ISERROR(SUM(J59:Q59)),0,MIN(SUM(J59:Q59),1))</f>
        <v>0</v>
      </c>
      <c r="J59" s="101">
        <f t="shared" ref="J59:Q59" si="29">MIN(SUM(J55:J58),1)</f>
        <v>0</v>
      </c>
      <c r="K59" s="101">
        <f t="shared" si="29"/>
        <v>0</v>
      </c>
      <c r="L59" s="101">
        <f t="shared" si="29"/>
        <v>0</v>
      </c>
      <c r="M59" s="101">
        <f t="shared" si="29"/>
        <v>0</v>
      </c>
      <c r="N59" s="101">
        <f t="shared" si="29"/>
        <v>0</v>
      </c>
      <c r="O59" s="101">
        <f t="shared" si="29"/>
        <v>0</v>
      </c>
      <c r="P59" s="101">
        <f t="shared" si="29"/>
        <v>0</v>
      </c>
      <c r="Q59" s="101">
        <f t="shared" si="29"/>
        <v>0</v>
      </c>
    </row>
    <row r="62" spans="2:17" ht="12.75">
      <c r="B62" s="126" t="s">
        <v>400</v>
      </c>
    </row>
    <row r="64" spans="2:17" s="16" customFormat="1" ht="11.25">
      <c r="C64" s="132" t="str">
        <f>"Assets Balances ("&amp;INDEX(LU_Denom,DD_TS_Denom)&amp;")"</f>
        <v>Assets Balances ($Millions)</v>
      </c>
    </row>
    <row r="65" spans="3:17" s="16" customFormat="1"/>
    <row r="66" spans="3:17" s="16" customFormat="1">
      <c r="D66" s="175" t="s">
        <v>247</v>
      </c>
      <c r="J66" s="100">
        <f>IF(J$12=1,Fcast_TA!$I$43,I70)</f>
        <v>145</v>
      </c>
      <c r="K66" s="100">
        <f>IF(K$12=1,Fcast_TA!$I$43,J70)</f>
        <v>146.5</v>
      </c>
      <c r="L66" s="100">
        <f>IF(L$12=1,Fcast_TA!$I$43,K70)</f>
        <v>148.03749999999999</v>
      </c>
      <c r="M66" s="100">
        <f>IF(M$12=1,Fcast_TA!$I$43,L70)</f>
        <v>149.6134375</v>
      </c>
      <c r="N66" s="100">
        <f>IF(N$12=1,Fcast_TA!$I$43,M70)</f>
        <v>151.22877343750002</v>
      </c>
      <c r="O66" s="100">
        <f>IF(O$12=1,Fcast_TA!$I$43,N70)</f>
        <v>152.88449277343753</v>
      </c>
      <c r="P66" s="100">
        <f>IF(P$12=1,Fcast_TA!$I$43,O70)</f>
        <v>154.58160509277349</v>
      </c>
      <c r="Q66" s="100">
        <f>IF(Q$12=1,Fcast_TA!$I$43,P70)</f>
        <v>156.32114522009283</v>
      </c>
    </row>
    <row r="67" spans="3:17" s="16" customFormat="1">
      <c r="D67" s="5" t="str">
        <f>C21</f>
        <v>Capital Expenditure - Assets</v>
      </c>
      <c r="J67" s="100">
        <f>J21</f>
        <v>15</v>
      </c>
      <c r="K67" s="100">
        <f t="shared" ref="K67:Q67" si="30">K21</f>
        <v>15.374999999999998</v>
      </c>
      <c r="L67" s="100">
        <f t="shared" si="30"/>
        <v>15.759374999999997</v>
      </c>
      <c r="M67" s="100">
        <f t="shared" si="30"/>
        <v>16.153359374999994</v>
      </c>
      <c r="N67" s="100">
        <f t="shared" si="30"/>
        <v>16.557193359374992</v>
      </c>
      <c r="O67" s="100">
        <f t="shared" si="30"/>
        <v>16.971123193359364</v>
      </c>
      <c r="P67" s="100">
        <f t="shared" si="30"/>
        <v>17.395401273193347</v>
      </c>
      <c r="Q67" s="100">
        <f t="shared" si="30"/>
        <v>17.830286305023179</v>
      </c>
    </row>
    <row r="68" spans="3:17" s="16" customFormat="1" hidden="1" outlineLevel="2">
      <c r="D68" s="175" t="s">
        <v>480</v>
      </c>
      <c r="J68" s="125">
        <f>Fcast_TA!J43</f>
        <v>0.9</v>
      </c>
      <c r="K68" s="125">
        <f>Fcast_TA!K43</f>
        <v>0.9</v>
      </c>
      <c r="L68" s="125">
        <f>Fcast_TA!L43</f>
        <v>0.9</v>
      </c>
      <c r="M68" s="125">
        <f>Fcast_TA!M43</f>
        <v>0.9</v>
      </c>
      <c r="N68" s="125">
        <f>Fcast_TA!N43</f>
        <v>0.9</v>
      </c>
      <c r="O68" s="125">
        <f>Fcast_TA!O43</f>
        <v>0.9</v>
      </c>
      <c r="P68" s="125">
        <f>Fcast_TA!P43</f>
        <v>0.9</v>
      </c>
      <c r="Q68" s="125">
        <f>Fcast_TA!Q43</f>
        <v>0.9</v>
      </c>
    </row>
    <row r="69" spans="3:17" s="22" customFormat="1" collapsed="1">
      <c r="D69" s="182" t="s">
        <v>415</v>
      </c>
      <c r="J69" s="128">
        <f>-J67*J68</f>
        <v>-13.5</v>
      </c>
      <c r="K69" s="128">
        <f t="shared" ref="K69:Q69" si="31">-K67*K68</f>
        <v>-13.837499999999999</v>
      </c>
      <c r="L69" s="128">
        <f t="shared" si="31"/>
        <v>-14.183437499999997</v>
      </c>
      <c r="M69" s="128">
        <f t="shared" si="31"/>
        <v>-14.538023437499994</v>
      </c>
      <c r="N69" s="128">
        <f t="shared" si="31"/>
        <v>-14.901474023437492</v>
      </c>
      <c r="O69" s="128">
        <f t="shared" si="31"/>
        <v>-15.274010874023428</v>
      </c>
      <c r="P69" s="128">
        <f t="shared" si="31"/>
        <v>-15.655861145874013</v>
      </c>
      <c r="Q69" s="128">
        <f t="shared" si="31"/>
        <v>-16.047257674520861</v>
      </c>
    </row>
    <row r="70" spans="3:17" s="16" customFormat="1">
      <c r="D70" s="176" t="s">
        <v>411</v>
      </c>
      <c r="J70" s="134">
        <f>J66+J67+J69</f>
        <v>146.5</v>
      </c>
      <c r="K70" s="134">
        <f t="shared" ref="K70:Q70" si="32">K66+K67+K69</f>
        <v>148.03749999999999</v>
      </c>
      <c r="L70" s="134">
        <f t="shared" si="32"/>
        <v>149.6134375</v>
      </c>
      <c r="M70" s="134">
        <f t="shared" si="32"/>
        <v>151.22877343750002</v>
      </c>
      <c r="N70" s="134">
        <f t="shared" si="32"/>
        <v>152.88449277343753</v>
      </c>
      <c r="O70" s="134">
        <f t="shared" si="32"/>
        <v>154.58160509277349</v>
      </c>
      <c r="P70" s="134">
        <f t="shared" si="32"/>
        <v>156.32114522009283</v>
      </c>
      <c r="Q70" s="134">
        <f t="shared" si="32"/>
        <v>158.10417385059515</v>
      </c>
    </row>
    <row r="71" spans="3:17" s="16" customFormat="1"/>
    <row r="72" spans="3:17" s="16" customFormat="1" hidden="1" outlineLevel="2">
      <c r="E72" s="175" t="s">
        <v>241</v>
      </c>
      <c r="J72" s="101">
        <f>IF(ISERROR(J70-(J66+J67+J69)),1,0)</f>
        <v>0</v>
      </c>
      <c r="K72" s="101">
        <f t="shared" ref="K72:Q72" si="33">IF(ISERROR(K70-(K66+K67+K69)),1,0)</f>
        <v>0</v>
      </c>
      <c r="L72" s="101">
        <f t="shared" si="33"/>
        <v>0</v>
      </c>
      <c r="M72" s="101">
        <f t="shared" si="33"/>
        <v>0</v>
      </c>
      <c r="N72" s="101">
        <f t="shared" si="33"/>
        <v>0</v>
      </c>
      <c r="O72" s="101">
        <f t="shared" si="33"/>
        <v>0</v>
      </c>
      <c r="P72" s="101">
        <f t="shared" si="33"/>
        <v>0</v>
      </c>
      <c r="Q72" s="101">
        <f t="shared" si="33"/>
        <v>0</v>
      </c>
    </row>
    <row r="73" spans="3:17" s="16" customFormat="1" hidden="1" outlineLevel="2">
      <c r="E73" s="175" t="s">
        <v>242</v>
      </c>
      <c r="J73" s="131">
        <f>IF(J72&lt;&gt;0,0,(ROUND(J70-(J66+J67+J69),5)&lt;&gt;0)*1)</f>
        <v>0</v>
      </c>
      <c r="K73" s="131">
        <f t="shared" ref="K73:Q73" si="34">IF(K72&lt;&gt;0,0,(ROUND(K70-(K66+K67+K69),5)&lt;&gt;0)*1)</f>
        <v>0</v>
      </c>
      <c r="L73" s="131">
        <f t="shared" si="34"/>
        <v>0</v>
      </c>
      <c r="M73" s="131">
        <f t="shared" si="34"/>
        <v>0</v>
      </c>
      <c r="N73" s="131">
        <f t="shared" si="34"/>
        <v>0</v>
      </c>
      <c r="O73" s="131">
        <f t="shared" si="34"/>
        <v>0</v>
      </c>
      <c r="P73" s="131">
        <f t="shared" si="34"/>
        <v>0</v>
      </c>
      <c r="Q73" s="131">
        <f t="shared" si="34"/>
        <v>0</v>
      </c>
    </row>
    <row r="74" spans="3:17" s="16" customFormat="1" collapsed="1">
      <c r="D74" s="175" t="s">
        <v>412</v>
      </c>
      <c r="I74" s="104">
        <f>IF(ISERROR(SUM(J74:Q74)),0,MIN(SUM(J74:Q74),1))</f>
        <v>0</v>
      </c>
      <c r="J74" s="101">
        <f>MIN(SUM(J72:J73),1)</f>
        <v>0</v>
      </c>
      <c r="K74" s="101">
        <f t="shared" ref="K74:Q74" si="35">MIN(SUM(K72:K73),1)</f>
        <v>0</v>
      </c>
      <c r="L74" s="101">
        <f t="shared" si="35"/>
        <v>0</v>
      </c>
      <c r="M74" s="101">
        <f t="shared" si="35"/>
        <v>0</v>
      </c>
      <c r="N74" s="101">
        <f t="shared" si="35"/>
        <v>0</v>
      </c>
      <c r="O74" s="101">
        <f t="shared" si="35"/>
        <v>0</v>
      </c>
      <c r="P74" s="101">
        <f t="shared" si="35"/>
        <v>0</v>
      </c>
      <c r="Q74" s="101">
        <f t="shared" si="35"/>
        <v>0</v>
      </c>
    </row>
    <row r="75" spans="3:17" s="16" customFormat="1"/>
    <row r="76" spans="3:17" s="16" customFormat="1" ht="11.25">
      <c r="C76" s="132" t="str">
        <f>"Intangibles Balances ("&amp;INDEX(LU_Denom,DD_TS_Denom)&amp;")"</f>
        <v>Intangibles Balances ($Millions)</v>
      </c>
    </row>
    <row r="77" spans="3:17" s="16" customFormat="1"/>
    <row r="78" spans="3:17" s="16" customFormat="1">
      <c r="D78" s="175" t="s">
        <v>247</v>
      </c>
      <c r="J78" s="100">
        <f>IF(J$12=1,Fcast_TA!$I$44,I82)</f>
        <v>11.5</v>
      </c>
      <c r="K78" s="100">
        <f>IF(K$12=1,Fcast_TA!$I$44,J82)</f>
        <v>13.375</v>
      </c>
      <c r="L78" s="100">
        <f>IF(L$12=1,Fcast_TA!$I$44,K82)</f>
        <v>15.296875</v>
      </c>
      <c r="M78" s="100">
        <f>IF(M$12=1,Fcast_TA!$I$44,L82)</f>
        <v>17.266796874999997</v>
      </c>
      <c r="N78" s="100">
        <f>IF(N$12=1,Fcast_TA!$I$44,M82)</f>
        <v>19.285966796874998</v>
      </c>
      <c r="O78" s="100">
        <f>IF(O$12=1,Fcast_TA!$I$44,N82)</f>
        <v>21.355615966796872</v>
      </c>
      <c r="P78" s="100">
        <f>IF(P$12=1,Fcast_TA!$I$44,O82)</f>
        <v>23.477006365966794</v>
      </c>
      <c r="Q78" s="100">
        <f>IF(Q$12=1,Fcast_TA!$I$44,P82)</f>
        <v>25.651431525115964</v>
      </c>
    </row>
    <row r="79" spans="3:17" s="16" customFormat="1">
      <c r="D79" s="5" t="str">
        <f>C22</f>
        <v>Capital Expenditure - Intangibles</v>
      </c>
      <c r="J79" s="100">
        <f>J22</f>
        <v>2.5</v>
      </c>
      <c r="K79" s="100">
        <f t="shared" ref="K79:Q79" si="36">K22</f>
        <v>2.5625</v>
      </c>
      <c r="L79" s="100">
        <f t="shared" si="36"/>
        <v>2.6265624999999999</v>
      </c>
      <c r="M79" s="100">
        <f t="shared" si="36"/>
        <v>2.6922265624999997</v>
      </c>
      <c r="N79" s="100">
        <f t="shared" si="36"/>
        <v>2.7595322265624995</v>
      </c>
      <c r="O79" s="100">
        <f t="shared" si="36"/>
        <v>2.8285205322265616</v>
      </c>
      <c r="P79" s="100">
        <f t="shared" si="36"/>
        <v>2.8992335455322253</v>
      </c>
      <c r="Q79" s="100">
        <f t="shared" si="36"/>
        <v>2.9717143841705309</v>
      </c>
    </row>
    <row r="80" spans="3:17" s="16" customFormat="1" hidden="1" outlineLevel="2">
      <c r="D80" s="175" t="s">
        <v>481</v>
      </c>
      <c r="J80" s="125">
        <f>Fcast_TA!J44</f>
        <v>0.25</v>
      </c>
      <c r="K80" s="125">
        <f>Fcast_TA!K44</f>
        <v>0.25</v>
      </c>
      <c r="L80" s="125">
        <f>Fcast_TA!L44</f>
        <v>0.25</v>
      </c>
      <c r="M80" s="125">
        <f>Fcast_TA!M44</f>
        <v>0.25</v>
      </c>
      <c r="N80" s="125">
        <f>Fcast_TA!N44</f>
        <v>0.25</v>
      </c>
      <c r="O80" s="125">
        <f>Fcast_TA!O44</f>
        <v>0.25</v>
      </c>
      <c r="P80" s="125">
        <f>Fcast_TA!P44</f>
        <v>0.25</v>
      </c>
      <c r="Q80" s="125">
        <f>Fcast_TA!Q44</f>
        <v>0.25</v>
      </c>
    </row>
    <row r="81" spans="2:17" s="22" customFormat="1" collapsed="1">
      <c r="D81" s="182" t="s">
        <v>482</v>
      </c>
      <c r="J81" s="128">
        <f>-J79*J80</f>
        <v>-0.625</v>
      </c>
      <c r="K81" s="128">
        <f t="shared" ref="K81" si="37">-K79*K80</f>
        <v>-0.640625</v>
      </c>
      <c r="L81" s="128">
        <f t="shared" ref="L81" si="38">-L79*L80</f>
        <v>-0.65664062499999998</v>
      </c>
      <c r="M81" s="128">
        <f t="shared" ref="M81" si="39">-M79*M80</f>
        <v>-0.67305664062499992</v>
      </c>
      <c r="N81" s="128">
        <f t="shared" ref="N81" si="40">-N79*N80</f>
        <v>-0.68988305664062488</v>
      </c>
      <c r="O81" s="128">
        <f t="shared" ref="O81" si="41">-O79*O80</f>
        <v>-0.70713013305664041</v>
      </c>
      <c r="P81" s="128">
        <f t="shared" ref="P81" si="42">-P79*P80</f>
        <v>-0.72480838638305634</v>
      </c>
      <c r="Q81" s="128">
        <f t="shared" ref="Q81" si="43">-Q79*Q80</f>
        <v>-0.74292859604263273</v>
      </c>
    </row>
    <row r="82" spans="2:17" s="16" customFormat="1">
      <c r="D82" s="176" t="s">
        <v>411</v>
      </c>
      <c r="J82" s="134">
        <f>J78+J79+J81</f>
        <v>13.375</v>
      </c>
      <c r="K82" s="134">
        <f t="shared" ref="K82" si="44">K78+K79+K81</f>
        <v>15.296875</v>
      </c>
      <c r="L82" s="134">
        <f t="shared" ref="L82" si="45">L78+L79+L81</f>
        <v>17.266796874999997</v>
      </c>
      <c r="M82" s="134">
        <f t="shared" ref="M82" si="46">M78+M79+M81</f>
        <v>19.285966796874998</v>
      </c>
      <c r="N82" s="134">
        <f t="shared" ref="N82" si="47">N78+N79+N81</f>
        <v>21.355615966796872</v>
      </c>
      <c r="O82" s="134">
        <f t="shared" ref="O82" si="48">O78+O79+O81</f>
        <v>23.477006365966794</v>
      </c>
      <c r="P82" s="134">
        <f t="shared" ref="P82" si="49">P78+P79+P81</f>
        <v>25.651431525115964</v>
      </c>
      <c r="Q82" s="134">
        <f t="shared" ref="Q82" si="50">Q78+Q79+Q81</f>
        <v>27.880217313243865</v>
      </c>
    </row>
    <row r="83" spans="2:17" s="16" customFormat="1"/>
    <row r="84" spans="2:17" s="16" customFormat="1" hidden="1" outlineLevel="2">
      <c r="E84" s="175" t="s">
        <v>241</v>
      </c>
      <c r="J84" s="101">
        <f>IF(ISERROR(J82-(J78+J79+J81)),1,0)</f>
        <v>0</v>
      </c>
      <c r="K84" s="101">
        <f t="shared" ref="K84:Q84" si="51">IF(ISERROR(K82-(K78+K79+K81)),1,0)</f>
        <v>0</v>
      </c>
      <c r="L84" s="101">
        <f t="shared" si="51"/>
        <v>0</v>
      </c>
      <c r="M84" s="101">
        <f t="shared" si="51"/>
        <v>0</v>
      </c>
      <c r="N84" s="101">
        <f t="shared" si="51"/>
        <v>0</v>
      </c>
      <c r="O84" s="101">
        <f t="shared" si="51"/>
        <v>0</v>
      </c>
      <c r="P84" s="101">
        <f t="shared" si="51"/>
        <v>0</v>
      </c>
      <c r="Q84" s="101">
        <f t="shared" si="51"/>
        <v>0</v>
      </c>
    </row>
    <row r="85" spans="2:17" s="16" customFormat="1" hidden="1" outlineLevel="2">
      <c r="E85" s="175" t="s">
        <v>242</v>
      </c>
      <c r="J85" s="131">
        <f>IF(J84&lt;&gt;0,0,(ROUND(J82-(J78+J79+J81),5)&lt;&gt;0)*1)</f>
        <v>0</v>
      </c>
      <c r="K85" s="131">
        <f t="shared" ref="K85" si="52">IF(K84&lt;&gt;0,0,(ROUND(K82-(K78+K79+K81),5)&lt;&gt;0)*1)</f>
        <v>0</v>
      </c>
      <c r="L85" s="131">
        <f t="shared" ref="L85" si="53">IF(L84&lt;&gt;0,0,(ROUND(L82-(L78+L79+L81),5)&lt;&gt;0)*1)</f>
        <v>0</v>
      </c>
      <c r="M85" s="131">
        <f t="shared" ref="M85" si="54">IF(M84&lt;&gt;0,0,(ROUND(M82-(M78+M79+M81),5)&lt;&gt;0)*1)</f>
        <v>0</v>
      </c>
      <c r="N85" s="131">
        <f t="shared" ref="N85" si="55">IF(N84&lt;&gt;0,0,(ROUND(N82-(N78+N79+N81),5)&lt;&gt;0)*1)</f>
        <v>0</v>
      </c>
      <c r="O85" s="131">
        <f t="shared" ref="O85" si="56">IF(O84&lt;&gt;0,0,(ROUND(O82-(O78+O79+O81),5)&lt;&gt;0)*1)</f>
        <v>0</v>
      </c>
      <c r="P85" s="131">
        <f t="shared" ref="P85" si="57">IF(P84&lt;&gt;0,0,(ROUND(P82-(P78+P79+P81),5)&lt;&gt;0)*1)</f>
        <v>0</v>
      </c>
      <c r="Q85" s="131">
        <f t="shared" ref="Q85" si="58">IF(Q84&lt;&gt;0,0,(ROUND(Q82-(Q78+Q79+Q81),5)&lt;&gt;0)*1)</f>
        <v>0</v>
      </c>
    </row>
    <row r="86" spans="2:17" s="16" customFormat="1" collapsed="1">
      <c r="D86" s="175" t="s">
        <v>412</v>
      </c>
      <c r="I86" s="104">
        <f>IF(ISERROR(SUM(J86:Q86)),0,MIN(SUM(J86:Q86),1))</f>
        <v>0</v>
      </c>
      <c r="J86" s="101">
        <f>MIN(SUM(J84:J85),1)</f>
        <v>0</v>
      </c>
      <c r="K86" s="101">
        <f t="shared" ref="K86" si="59">MIN(SUM(K84:K85),1)</f>
        <v>0</v>
      </c>
      <c r="L86" s="101">
        <f t="shared" ref="L86" si="60">MIN(SUM(L84:L85),1)</f>
        <v>0</v>
      </c>
      <c r="M86" s="101">
        <f t="shared" ref="M86" si="61">MIN(SUM(M84:M85),1)</f>
        <v>0</v>
      </c>
      <c r="N86" s="101">
        <f t="shared" ref="N86" si="62">MIN(SUM(N84:N85),1)</f>
        <v>0</v>
      </c>
      <c r="O86" s="101">
        <f t="shared" ref="O86" si="63">MIN(SUM(O84:O85),1)</f>
        <v>0</v>
      </c>
      <c r="P86" s="101">
        <f t="shared" ref="P86" si="64">MIN(SUM(P84:P85),1)</f>
        <v>0</v>
      </c>
      <c r="Q86" s="101">
        <f t="shared" ref="Q86" si="65">MIN(SUM(Q84:Q85),1)</f>
        <v>0</v>
      </c>
    </row>
    <row r="89" spans="2:17" ht="12.75">
      <c r="B89" s="126" t="s">
        <v>401</v>
      </c>
    </row>
    <row r="91" spans="2:17" s="16" customFormat="1" ht="11.25">
      <c r="C91" s="99" t="s">
        <v>486</v>
      </c>
    </row>
    <row r="92" spans="2:17" s="16" customFormat="1" ht="11.25">
      <c r="C92" s="99"/>
    </row>
    <row r="93" spans="2:17">
      <c r="D93" s="4" t="str">
        <f>Fcast_TA!$D$54</f>
        <v>Funds Drawn ($Millions)</v>
      </c>
    </row>
    <row r="95" spans="2:17">
      <c r="E95" s="5" t="str">
        <f>Fcast_TA!E56</f>
        <v>Opening Balance</v>
      </c>
      <c r="J95" s="100">
        <f>IF(J$12=1,Fcast_TA!$J$56,I98)</f>
        <v>50</v>
      </c>
      <c r="K95" s="100">
        <f>IF(K$12=1,Fcast_TA!$J$56,J98)</f>
        <v>50</v>
      </c>
      <c r="L95" s="100">
        <f>IF(L$12=1,Fcast_TA!$J$56,K98)</f>
        <v>50</v>
      </c>
      <c r="M95" s="100">
        <f>IF(M$12=1,Fcast_TA!$J$56,L98)</f>
        <v>50</v>
      </c>
      <c r="N95" s="100">
        <f>IF(N$12=1,Fcast_TA!$J$56,M98)</f>
        <v>50</v>
      </c>
      <c r="O95" s="100">
        <f>IF(O$12=1,Fcast_TA!$J$56,N98)</f>
        <v>55</v>
      </c>
      <c r="P95" s="100">
        <f>IF(P$12=1,Fcast_TA!$J$56,O98)</f>
        <v>55</v>
      </c>
      <c r="Q95" s="100">
        <f>IF(Q$12=1,Fcast_TA!$J$56,P98)</f>
        <v>55</v>
      </c>
    </row>
    <row r="96" spans="2:17">
      <c r="E96" s="5" t="str">
        <f>Fcast_TA!E57</f>
        <v>Debt Drawdowns</v>
      </c>
      <c r="J96" s="100">
        <f>Fcast_TA!J57</f>
        <v>0</v>
      </c>
      <c r="K96" s="100">
        <f>Fcast_TA!K57</f>
        <v>0</v>
      </c>
      <c r="L96" s="100">
        <f>Fcast_TA!L57</f>
        <v>0</v>
      </c>
      <c r="M96" s="100">
        <f>Fcast_TA!M57</f>
        <v>0</v>
      </c>
      <c r="N96" s="100">
        <f>Fcast_TA!N57</f>
        <v>50</v>
      </c>
      <c r="O96" s="100">
        <f>Fcast_TA!O57</f>
        <v>0</v>
      </c>
      <c r="P96" s="100">
        <f>Fcast_TA!P57</f>
        <v>0</v>
      </c>
      <c r="Q96" s="100">
        <f>Fcast_TA!Q57</f>
        <v>0</v>
      </c>
    </row>
    <row r="97" spans="4:17">
      <c r="E97" s="5" t="str">
        <f>Fcast_TA!E58</f>
        <v>Debt Repayments</v>
      </c>
      <c r="J97" s="102">
        <f>-Fcast_TA!J58</f>
        <v>0</v>
      </c>
      <c r="K97" s="102">
        <f>-Fcast_TA!K58</f>
        <v>0</v>
      </c>
      <c r="L97" s="102">
        <f>-Fcast_TA!L58</f>
        <v>0</v>
      </c>
      <c r="M97" s="102">
        <f>-Fcast_TA!M58</f>
        <v>0</v>
      </c>
      <c r="N97" s="102">
        <f>-Fcast_TA!N58</f>
        <v>-45</v>
      </c>
      <c r="O97" s="102">
        <f>-Fcast_TA!O58</f>
        <v>0</v>
      </c>
      <c r="P97" s="102">
        <f>-Fcast_TA!P58</f>
        <v>0</v>
      </c>
      <c r="Q97" s="102">
        <f>-Fcast_TA!Q58</f>
        <v>0</v>
      </c>
    </row>
    <row r="98" spans="4:17">
      <c r="E98" s="4" t="str">
        <f>Fcast_TA!E59</f>
        <v>Closing Debt Balance</v>
      </c>
      <c r="J98" s="103">
        <f>SUM(J95:J97)</f>
        <v>50</v>
      </c>
      <c r="K98" s="103">
        <f t="shared" ref="K98:Q98" si="66">SUM(K95:K97)</f>
        <v>50</v>
      </c>
      <c r="L98" s="103">
        <f t="shared" si="66"/>
        <v>50</v>
      </c>
      <c r="M98" s="103">
        <f t="shared" si="66"/>
        <v>50</v>
      </c>
      <c r="N98" s="103">
        <f t="shared" si="66"/>
        <v>55</v>
      </c>
      <c r="O98" s="103">
        <f t="shared" si="66"/>
        <v>55</v>
      </c>
      <c r="P98" s="103">
        <f t="shared" si="66"/>
        <v>55</v>
      </c>
      <c r="Q98" s="103">
        <f t="shared" si="66"/>
        <v>55</v>
      </c>
    </row>
    <row r="100" spans="4:17">
      <c r="D100" s="4" t="str">
        <f>Fcast_TA!$D$63</f>
        <v>Interest Expense</v>
      </c>
    </row>
    <row r="102" spans="4:17">
      <c r="E102" s="5" t="str">
        <f>Fcast_TA!E67</f>
        <v>Base Interest Rate (% p.a.)</v>
      </c>
      <c r="J102" s="138">
        <f>Fcast_TA!J67</f>
        <v>0.05</v>
      </c>
      <c r="K102" s="138">
        <f>Fcast_TA!K67</f>
        <v>0.05</v>
      </c>
      <c r="L102" s="138">
        <f>Fcast_TA!L67</f>
        <v>0.05</v>
      </c>
      <c r="M102" s="138">
        <f>Fcast_TA!M67</f>
        <v>0.05</v>
      </c>
      <c r="N102" s="138">
        <f>Fcast_TA!N67</f>
        <v>0.05</v>
      </c>
      <c r="O102" s="138">
        <f>Fcast_TA!O67</f>
        <v>0.05</v>
      </c>
      <c r="P102" s="138">
        <f>Fcast_TA!P67</f>
        <v>0.05</v>
      </c>
      <c r="Q102" s="138">
        <f>Fcast_TA!Q67</f>
        <v>0.05</v>
      </c>
    </row>
    <row r="103" spans="4:17">
      <c r="E103" s="5" t="str">
        <f>Fcast_TA!E68</f>
        <v>Margin (% p.a.)</v>
      </c>
      <c r="J103" s="138">
        <f>Fcast_TA!J68</f>
        <v>1.4999999999999999E-2</v>
      </c>
      <c r="K103" s="138">
        <f>Fcast_TA!K68</f>
        <v>1.4999999999999999E-2</v>
      </c>
      <c r="L103" s="138">
        <f>Fcast_TA!L68</f>
        <v>1.4999999999999999E-2</v>
      </c>
      <c r="M103" s="138">
        <f>Fcast_TA!M68</f>
        <v>1.4999999999999999E-2</v>
      </c>
      <c r="N103" s="138">
        <f>Fcast_TA!N68</f>
        <v>1.4999999999999999E-2</v>
      </c>
      <c r="O103" s="138">
        <f>Fcast_TA!O68</f>
        <v>1.4999999999999999E-2</v>
      </c>
      <c r="P103" s="138">
        <f>Fcast_TA!P68</f>
        <v>1.4999999999999999E-2</v>
      </c>
      <c r="Q103" s="138">
        <f>Fcast_TA!Q68</f>
        <v>1.4999999999999999E-2</v>
      </c>
    </row>
    <row r="104" spans="4:17">
      <c r="E104" s="5" t="str">
        <f>Fcast_TA!E69</f>
        <v>All-In Interest Rate (% p.a.)</v>
      </c>
      <c r="J104" s="142">
        <f>SUM(J102:J103)</f>
        <v>6.5000000000000002E-2</v>
      </c>
      <c r="K104" s="142">
        <f t="shared" ref="K104:Q104" si="67">SUM(K102:K103)</f>
        <v>6.5000000000000002E-2</v>
      </c>
      <c r="L104" s="142">
        <f t="shared" si="67"/>
        <v>6.5000000000000002E-2</v>
      </c>
      <c r="M104" s="142">
        <f t="shared" si="67"/>
        <v>6.5000000000000002E-2</v>
      </c>
      <c r="N104" s="142">
        <f t="shared" si="67"/>
        <v>6.5000000000000002E-2</v>
      </c>
      <c r="O104" s="142">
        <f t="shared" si="67"/>
        <v>6.5000000000000002E-2</v>
      </c>
      <c r="P104" s="142">
        <f t="shared" si="67"/>
        <v>6.5000000000000002E-2</v>
      </c>
      <c r="Q104" s="142">
        <f t="shared" si="67"/>
        <v>6.5000000000000002E-2</v>
      </c>
    </row>
    <row r="106" spans="4:17" s="16" customFormat="1">
      <c r="E106" s="123" t="str">
        <f>Mth_Name&amp;"s in "&amp;CHOOSE(MATCH(TS_Periodicity,LU_Periodicity,0),
"Financial "&amp;Yr_Name,
Half_Yr_Name,
Qtr_Name,
Mth_Name)</f>
        <v>Months in Financial Year</v>
      </c>
      <c r="J106" s="148">
        <f t="shared" ref="J106:Q106" si="68">Mths_In_Yr/INDEX(LU_Pers_In_Yr,MATCH(TS_Periodicity,LU_Periodicity,0))</f>
        <v>12</v>
      </c>
      <c r="K106" s="148">
        <f t="shared" si="68"/>
        <v>12</v>
      </c>
      <c r="L106" s="148">
        <f t="shared" si="68"/>
        <v>12</v>
      </c>
      <c r="M106" s="148">
        <f t="shared" si="68"/>
        <v>12</v>
      </c>
      <c r="N106" s="148">
        <f t="shared" si="68"/>
        <v>12</v>
      </c>
      <c r="O106" s="148">
        <f t="shared" si="68"/>
        <v>12</v>
      </c>
      <c r="P106" s="148">
        <f t="shared" si="68"/>
        <v>12</v>
      </c>
      <c r="Q106" s="148">
        <f t="shared" si="68"/>
        <v>12</v>
      </c>
    </row>
    <row r="107" spans="4:17">
      <c r="E107" s="114" t="s">
        <v>258</v>
      </c>
      <c r="J107" s="125">
        <f t="shared" ref="J107:Q107" si="69">IF(J$12=1,IF(J$9=EOMONTH(J$9,0),(DAY(EOMONTH(J$8,0))-DAY(J$8)+1)/DAY(EOMONTH(J$8,0))+MONTH(J$9)-MONTH(J$8)+(YEAR(J$9)&lt;&gt;YEAR(J$8))*Mths_In_Yr,J106)/Mths_In_Yr,
1/(Mths_In_Yr/J106))</f>
        <v>1</v>
      </c>
      <c r="K107" s="125">
        <f t="shared" si="69"/>
        <v>1</v>
      </c>
      <c r="L107" s="125">
        <f t="shared" si="69"/>
        <v>1</v>
      </c>
      <c r="M107" s="125">
        <f t="shared" si="69"/>
        <v>1</v>
      </c>
      <c r="N107" s="125">
        <f t="shared" si="69"/>
        <v>1</v>
      </c>
      <c r="O107" s="125">
        <f t="shared" si="69"/>
        <v>1</v>
      </c>
      <c r="P107" s="125">
        <f t="shared" si="69"/>
        <v>1</v>
      </c>
      <c r="Q107" s="125">
        <f t="shared" si="69"/>
        <v>1</v>
      </c>
    </row>
    <row r="108" spans="4:17">
      <c r="E108" s="5" t="str">
        <f>Fcast_TA!$E$61</f>
        <v>Drawdowns/Repayments % into Period</v>
      </c>
      <c r="J108" s="125">
        <f>Fcast_TA!J61</f>
        <v>0.5</v>
      </c>
      <c r="K108" s="125">
        <f>Fcast_TA!K61</f>
        <v>0.5</v>
      </c>
      <c r="L108" s="125">
        <f>Fcast_TA!L61</f>
        <v>0.5</v>
      </c>
      <c r="M108" s="125">
        <f>Fcast_TA!M61</f>
        <v>0.5</v>
      </c>
      <c r="N108" s="125">
        <f>Fcast_TA!N61</f>
        <v>0.5</v>
      </c>
      <c r="O108" s="125">
        <f>Fcast_TA!O61</f>
        <v>0.5</v>
      </c>
      <c r="P108" s="125">
        <f>Fcast_TA!P61</f>
        <v>0.5</v>
      </c>
      <c r="Q108" s="125">
        <f>Fcast_TA!Q61</f>
        <v>0.5</v>
      </c>
    </row>
    <row r="109" spans="4:17">
      <c r="E109" s="114" t="s">
        <v>259</v>
      </c>
      <c r="J109" s="102">
        <f>J95*J108+(1-J108)*J98</f>
        <v>50</v>
      </c>
      <c r="K109" s="102">
        <f t="shared" ref="K109:Q109" si="70">K95*K108+(1-K108)*K98</f>
        <v>50</v>
      </c>
      <c r="L109" s="102">
        <f t="shared" si="70"/>
        <v>50</v>
      </c>
      <c r="M109" s="102">
        <f t="shared" si="70"/>
        <v>50</v>
      </c>
      <c r="N109" s="102">
        <f t="shared" si="70"/>
        <v>52.5</v>
      </c>
      <c r="O109" s="102">
        <f t="shared" si="70"/>
        <v>55</v>
      </c>
      <c r="P109" s="102">
        <f t="shared" si="70"/>
        <v>55</v>
      </c>
      <c r="Q109" s="102">
        <f t="shared" si="70"/>
        <v>55</v>
      </c>
    </row>
    <row r="110" spans="4:17">
      <c r="E110" s="176" t="s">
        <v>252</v>
      </c>
      <c r="J110" s="103">
        <f>J104*J107*J109</f>
        <v>3.25</v>
      </c>
      <c r="K110" s="103">
        <f t="shared" ref="K110:Q110" si="71">K104*K107*K109</f>
        <v>3.25</v>
      </c>
      <c r="L110" s="103">
        <f t="shared" si="71"/>
        <v>3.25</v>
      </c>
      <c r="M110" s="103">
        <f t="shared" si="71"/>
        <v>3.25</v>
      </c>
      <c r="N110" s="103">
        <f t="shared" si="71"/>
        <v>3.4125000000000001</v>
      </c>
      <c r="O110" s="103">
        <f t="shared" si="71"/>
        <v>3.5750000000000002</v>
      </c>
      <c r="P110" s="103">
        <f t="shared" si="71"/>
        <v>3.5750000000000002</v>
      </c>
      <c r="Q110" s="103">
        <f t="shared" si="71"/>
        <v>3.5750000000000002</v>
      </c>
    </row>
    <row r="112" spans="4:17">
      <c r="E112" s="5" t="str">
        <f>Fcast_TA!$E$65</f>
        <v>Opening Interest Payable</v>
      </c>
      <c r="J112" s="100">
        <f>IF(J$12=1,Fcast_TA!$J$65,I115)</f>
        <v>0</v>
      </c>
      <c r="K112" s="100">
        <f>IF(K$12=1,Fcast_TA!$J$65,J115)</f>
        <v>0</v>
      </c>
      <c r="L112" s="100">
        <f>IF(L$12=1,Fcast_TA!$J$65,K115)</f>
        <v>0</v>
      </c>
      <c r="M112" s="100">
        <f>IF(M$12=1,Fcast_TA!$J$65,L115)</f>
        <v>0</v>
      </c>
      <c r="N112" s="100">
        <f>IF(N$12=1,Fcast_TA!$J$65,M115)</f>
        <v>0</v>
      </c>
      <c r="O112" s="100">
        <f>IF(O$12=1,Fcast_TA!$J$65,N115)</f>
        <v>0</v>
      </c>
      <c r="P112" s="100">
        <f>IF(P$12=1,Fcast_TA!$J$65,O115)</f>
        <v>0</v>
      </c>
      <c r="Q112" s="100">
        <f>IF(Q$12=1,Fcast_TA!$J$65,P115)</f>
        <v>0</v>
      </c>
    </row>
    <row r="113" spans="3:17">
      <c r="E113" s="5" t="str">
        <f>$E$110</f>
        <v>Interest Expense</v>
      </c>
      <c r="J113" s="100">
        <f>J110</f>
        <v>3.25</v>
      </c>
      <c r="K113" s="100">
        <f t="shared" ref="K113:Q113" si="72">K110</f>
        <v>3.25</v>
      </c>
      <c r="L113" s="100">
        <f t="shared" si="72"/>
        <v>3.25</v>
      </c>
      <c r="M113" s="100">
        <f t="shared" si="72"/>
        <v>3.25</v>
      </c>
      <c r="N113" s="100">
        <f t="shared" si="72"/>
        <v>3.4125000000000001</v>
      </c>
      <c r="O113" s="100">
        <f t="shared" si="72"/>
        <v>3.5750000000000002</v>
      </c>
      <c r="P113" s="100">
        <f t="shared" si="72"/>
        <v>3.5750000000000002</v>
      </c>
      <c r="Q113" s="100">
        <f t="shared" si="72"/>
        <v>3.5750000000000002</v>
      </c>
    </row>
    <row r="114" spans="3:17">
      <c r="E114" s="114" t="s">
        <v>260</v>
      </c>
      <c r="J114" s="102">
        <f>-J113</f>
        <v>-3.25</v>
      </c>
      <c r="K114" s="102">
        <f t="shared" ref="K114:Q114" si="73">-K113</f>
        <v>-3.25</v>
      </c>
      <c r="L114" s="102">
        <f t="shared" si="73"/>
        <v>-3.25</v>
      </c>
      <c r="M114" s="102">
        <f t="shared" si="73"/>
        <v>-3.25</v>
      </c>
      <c r="N114" s="102">
        <f t="shared" si="73"/>
        <v>-3.4125000000000001</v>
      </c>
      <c r="O114" s="102">
        <f t="shared" si="73"/>
        <v>-3.5750000000000002</v>
      </c>
      <c r="P114" s="102">
        <f t="shared" si="73"/>
        <v>-3.5750000000000002</v>
      </c>
      <c r="Q114" s="102">
        <f t="shared" si="73"/>
        <v>-3.5750000000000002</v>
      </c>
    </row>
    <row r="115" spans="3:17">
      <c r="E115" s="115" t="s">
        <v>261</v>
      </c>
      <c r="J115" s="100">
        <f>SUM(J112:J114)</f>
        <v>0</v>
      </c>
      <c r="K115" s="100">
        <f t="shared" ref="K115:Q115" si="74">SUM(K112:K114)</f>
        <v>0</v>
      </c>
      <c r="L115" s="100">
        <f t="shared" si="74"/>
        <v>0</v>
      </c>
      <c r="M115" s="100">
        <f t="shared" si="74"/>
        <v>0</v>
      </c>
      <c r="N115" s="100">
        <f t="shared" si="74"/>
        <v>0</v>
      </c>
      <c r="O115" s="100">
        <f t="shared" si="74"/>
        <v>0</v>
      </c>
      <c r="P115" s="100">
        <f t="shared" si="74"/>
        <v>0</v>
      </c>
      <c r="Q115" s="100">
        <f t="shared" si="74"/>
        <v>0</v>
      </c>
    </row>
    <row r="117" spans="3:17" ht="11.25">
      <c r="C117" s="99" t="s">
        <v>419</v>
      </c>
    </row>
    <row r="119" spans="3:17">
      <c r="D119" s="4" t="str">
        <f>Fcast_TA!$D$73</f>
        <v>Ordinary Equity Balances ($Millions)</v>
      </c>
    </row>
    <row r="121" spans="3:17">
      <c r="E121" s="5" t="str">
        <f>Fcast_TA!E75</f>
        <v>Opening Balance</v>
      </c>
      <c r="J121" s="100">
        <f>IF(J$12=1,Fcast_TA!$J$75,I124)</f>
        <v>75</v>
      </c>
      <c r="K121" s="100">
        <f>IF(K$12=1,Fcast_TA!$J$75,J124)</f>
        <v>75</v>
      </c>
      <c r="L121" s="100">
        <f>IF(L$12=1,Fcast_TA!$J$75,K124)</f>
        <v>75</v>
      </c>
      <c r="M121" s="100">
        <f>IF(M$12=1,Fcast_TA!$J$75,L124)</f>
        <v>75</v>
      </c>
      <c r="N121" s="100">
        <f>IF(N$12=1,Fcast_TA!$J$75,M124)</f>
        <v>75</v>
      </c>
      <c r="O121" s="100">
        <f>IF(O$12=1,Fcast_TA!$J$75,N124)</f>
        <v>75</v>
      </c>
      <c r="P121" s="100">
        <f>IF(P$12=1,Fcast_TA!$J$75,O124)</f>
        <v>75</v>
      </c>
      <c r="Q121" s="100">
        <f>IF(Q$12=1,Fcast_TA!$J$75,P124)</f>
        <v>75</v>
      </c>
    </row>
    <row r="122" spans="3:17">
      <c r="E122" s="5" t="str">
        <f>Fcast_TA!E76</f>
        <v>Equity Raisings</v>
      </c>
      <c r="J122" s="100">
        <f>Fcast_TA!J76</f>
        <v>0</v>
      </c>
      <c r="K122" s="100">
        <f>Fcast_TA!K76</f>
        <v>0</v>
      </c>
      <c r="L122" s="100">
        <f>Fcast_TA!L76</f>
        <v>0</v>
      </c>
      <c r="M122" s="100">
        <f>Fcast_TA!M76</f>
        <v>0</v>
      </c>
      <c r="N122" s="100">
        <f>Fcast_TA!N76</f>
        <v>0</v>
      </c>
      <c r="O122" s="100">
        <f>Fcast_TA!O76</f>
        <v>0</v>
      </c>
      <c r="P122" s="100">
        <f>Fcast_TA!P76</f>
        <v>0</v>
      </c>
      <c r="Q122" s="100">
        <f>Fcast_TA!Q76</f>
        <v>0</v>
      </c>
    </row>
    <row r="123" spans="3:17">
      <c r="E123" s="5" t="str">
        <f>Fcast_TA!E77</f>
        <v>Equity Repayments</v>
      </c>
      <c r="J123" s="102">
        <f>-Fcast_TA!J77</f>
        <v>0</v>
      </c>
      <c r="K123" s="102">
        <f>-Fcast_TA!K77</f>
        <v>0</v>
      </c>
      <c r="L123" s="102">
        <f>-Fcast_TA!L77</f>
        <v>0</v>
      </c>
      <c r="M123" s="102">
        <f>-Fcast_TA!M77</f>
        <v>0</v>
      </c>
      <c r="N123" s="102">
        <f>-Fcast_TA!N77</f>
        <v>0</v>
      </c>
      <c r="O123" s="102">
        <f>-Fcast_TA!O77</f>
        <v>0</v>
      </c>
      <c r="P123" s="102">
        <f>-Fcast_TA!P77</f>
        <v>0</v>
      </c>
      <c r="Q123" s="102">
        <f>-Fcast_TA!Q77</f>
        <v>0</v>
      </c>
    </row>
    <row r="124" spans="3:17">
      <c r="E124" s="4" t="str">
        <f>Fcast_TA!E78</f>
        <v>Closing Ordinary Equity</v>
      </c>
      <c r="J124" s="103">
        <f>SUM(J121:J123)</f>
        <v>75</v>
      </c>
      <c r="K124" s="103">
        <f t="shared" ref="K124:Q124" si="75">SUM(K121:K123)</f>
        <v>75</v>
      </c>
      <c r="L124" s="103">
        <f t="shared" si="75"/>
        <v>75</v>
      </c>
      <c r="M124" s="103">
        <f t="shared" si="75"/>
        <v>75</v>
      </c>
      <c r="N124" s="103">
        <f t="shared" si="75"/>
        <v>75</v>
      </c>
      <c r="O124" s="103">
        <f t="shared" si="75"/>
        <v>75</v>
      </c>
      <c r="P124" s="103">
        <f t="shared" si="75"/>
        <v>75</v>
      </c>
      <c r="Q124" s="103">
        <f t="shared" si="75"/>
        <v>75</v>
      </c>
    </row>
    <row r="126" spans="3:17">
      <c r="D126" s="4" t="str">
        <f>Fcast_TA!$D$80</f>
        <v>Dividends Payable &amp; Paid</v>
      </c>
    </row>
    <row r="128" spans="3:17">
      <c r="E128" s="114" t="s">
        <v>247</v>
      </c>
      <c r="J128" s="100">
        <f>IF(J$12=1,Fcast_TA!$J$82,I131)</f>
        <v>0</v>
      </c>
      <c r="K128" s="100">
        <f>IF(K$12=1,Fcast_TA!$J$82,J131)</f>
        <v>0</v>
      </c>
      <c r="L128" s="100">
        <f>IF(L$12=1,Fcast_TA!$J$82,K131)</f>
        <v>0</v>
      </c>
      <c r="M128" s="100">
        <f>IF(M$12=1,Fcast_TA!$J$82,L131)</f>
        <v>0</v>
      </c>
      <c r="N128" s="100">
        <f>IF(N$12=1,Fcast_TA!$J$82,M131)</f>
        <v>0</v>
      </c>
      <c r="O128" s="100">
        <f>IF(O$12=1,Fcast_TA!$J$82,N131)</f>
        <v>0</v>
      </c>
      <c r="P128" s="100">
        <f>IF(P$12=1,Fcast_TA!$J$82,O131)</f>
        <v>0</v>
      </c>
      <c r="Q128" s="100">
        <f>IF(Q$12=1,Fcast_TA!$J$82,P131)</f>
        <v>0</v>
      </c>
    </row>
    <row r="129" spans="4:17">
      <c r="E129" s="114" t="s">
        <v>276</v>
      </c>
      <c r="J129" s="100">
        <f t="shared" ref="J129:Q129" si="76">J153</f>
        <v>14.918749999999999</v>
      </c>
      <c r="K129" s="100">
        <f t="shared" si="76"/>
        <v>15.32015625</v>
      </c>
      <c r="L129" s="100">
        <f t="shared" si="76"/>
        <v>15.731597656250003</v>
      </c>
      <c r="M129" s="100">
        <f t="shared" si="76"/>
        <v>16.153325097656253</v>
      </c>
      <c r="N129" s="100">
        <f t="shared" si="76"/>
        <v>16.528720725097664</v>
      </c>
      <c r="O129" s="100">
        <f t="shared" si="76"/>
        <v>16.914923118225101</v>
      </c>
      <c r="P129" s="100">
        <f t="shared" si="76"/>
        <v>17.369077446180725</v>
      </c>
      <c r="Q129" s="100">
        <f t="shared" si="76"/>
        <v>17.834585632335237</v>
      </c>
    </row>
    <row r="130" spans="4:17">
      <c r="E130" s="114" t="s">
        <v>277</v>
      </c>
      <c r="J130" s="102">
        <f t="shared" ref="J130:Q130" si="77">-J129</f>
        <v>-14.918749999999999</v>
      </c>
      <c r="K130" s="102">
        <f t="shared" si="77"/>
        <v>-15.32015625</v>
      </c>
      <c r="L130" s="102">
        <f t="shared" si="77"/>
        <v>-15.731597656250003</v>
      </c>
      <c r="M130" s="102">
        <f t="shared" si="77"/>
        <v>-16.153325097656253</v>
      </c>
      <c r="N130" s="102">
        <f t="shared" si="77"/>
        <v>-16.528720725097664</v>
      </c>
      <c r="O130" s="102">
        <f t="shared" si="77"/>
        <v>-16.914923118225101</v>
      </c>
      <c r="P130" s="102">
        <f t="shared" si="77"/>
        <v>-17.369077446180725</v>
      </c>
      <c r="Q130" s="102">
        <f t="shared" si="77"/>
        <v>-17.834585632335237</v>
      </c>
    </row>
    <row r="131" spans="4:17">
      <c r="E131" s="115" t="s">
        <v>278</v>
      </c>
      <c r="J131" s="103">
        <f t="shared" ref="J131:Q131" si="78">SUM(J128:J130)</f>
        <v>0</v>
      </c>
      <c r="K131" s="103">
        <f t="shared" si="78"/>
        <v>0</v>
      </c>
      <c r="L131" s="103">
        <f t="shared" si="78"/>
        <v>0</v>
      </c>
      <c r="M131" s="103">
        <f t="shared" si="78"/>
        <v>0</v>
      </c>
      <c r="N131" s="103">
        <f t="shared" si="78"/>
        <v>0</v>
      </c>
      <c r="O131" s="103">
        <f t="shared" si="78"/>
        <v>0</v>
      </c>
      <c r="P131" s="103">
        <f t="shared" si="78"/>
        <v>0</v>
      </c>
      <c r="Q131" s="103">
        <f t="shared" si="78"/>
        <v>0</v>
      </c>
    </row>
    <row r="133" spans="4:17" hidden="1" outlineLevel="2">
      <c r="F133" s="114" t="s">
        <v>241</v>
      </c>
      <c r="J133" s="101">
        <f t="shared" ref="J133:Q133" si="79">IF(ISERROR(SUM(J121:J124,J128:J131)),1,0)</f>
        <v>0</v>
      </c>
      <c r="K133" s="101">
        <f t="shared" si="79"/>
        <v>0</v>
      </c>
      <c r="L133" s="101">
        <f t="shared" si="79"/>
        <v>0</v>
      </c>
      <c r="M133" s="101">
        <f t="shared" si="79"/>
        <v>0</v>
      </c>
      <c r="N133" s="101">
        <f t="shared" si="79"/>
        <v>0</v>
      </c>
      <c r="O133" s="101">
        <f t="shared" si="79"/>
        <v>0</v>
      </c>
      <c r="P133" s="101">
        <f t="shared" si="79"/>
        <v>0</v>
      </c>
      <c r="Q133" s="101">
        <f t="shared" si="79"/>
        <v>0</v>
      </c>
    </row>
    <row r="134" spans="4:17" hidden="1" outlineLevel="2">
      <c r="F134" s="114" t="s">
        <v>279</v>
      </c>
      <c r="J134" s="108">
        <f t="shared" ref="J134:Q134" si="80">IF(J133&lt;&gt;0,0,OR(ROUND(J121,5)&lt;0,ROUND(J122,5)&lt;0,ROUND(J123,5)&gt;0,ROUND(J124,5)&lt;0,ROUND(J124-SUM(J121:J123),5)&lt;&gt;0)*1)</f>
        <v>0</v>
      </c>
      <c r="K134" s="108">
        <f t="shared" si="80"/>
        <v>0</v>
      </c>
      <c r="L134" s="108">
        <f t="shared" si="80"/>
        <v>0</v>
      </c>
      <c r="M134" s="108">
        <f t="shared" si="80"/>
        <v>0</v>
      </c>
      <c r="N134" s="108">
        <f t="shared" si="80"/>
        <v>0</v>
      </c>
      <c r="O134" s="108">
        <f t="shared" si="80"/>
        <v>0</v>
      </c>
      <c r="P134" s="108">
        <f t="shared" si="80"/>
        <v>0</v>
      </c>
      <c r="Q134" s="108">
        <f t="shared" si="80"/>
        <v>0</v>
      </c>
    </row>
    <row r="135" spans="4:17" hidden="1" outlineLevel="2">
      <c r="F135" s="114" t="s">
        <v>280</v>
      </c>
      <c r="J135" s="131">
        <f t="shared" ref="J135:Q135" si="81">IF(J133&lt;&gt;0,0,OR(ROUND(J128,5)&lt;0,ROUND(J129,5)&lt;0,ROUND(J130,5)&gt;0,ROUND(J131,5)&lt;0,ROUND(J131-SUM(J128:J130),5)&lt;&gt;0)*1)</f>
        <v>0</v>
      </c>
      <c r="K135" s="131">
        <f t="shared" si="81"/>
        <v>0</v>
      </c>
      <c r="L135" s="131">
        <f t="shared" si="81"/>
        <v>0</v>
      </c>
      <c r="M135" s="131">
        <f t="shared" si="81"/>
        <v>0</v>
      </c>
      <c r="N135" s="131">
        <f t="shared" si="81"/>
        <v>0</v>
      </c>
      <c r="O135" s="131">
        <f t="shared" si="81"/>
        <v>0</v>
      </c>
      <c r="P135" s="131">
        <f t="shared" si="81"/>
        <v>0</v>
      </c>
      <c r="Q135" s="131">
        <f t="shared" si="81"/>
        <v>0</v>
      </c>
    </row>
    <row r="136" spans="4:17" collapsed="1">
      <c r="E136" s="114" t="s">
        <v>412</v>
      </c>
      <c r="I136" s="104">
        <f>IF(ISERROR(SUM(J136:Q136)),0,MIN(SUM(J136:Q136),1))</f>
        <v>0</v>
      </c>
      <c r="J136" s="101">
        <f t="shared" ref="J136:Q136" si="82">IF(ISERROR(SUM(J133:J135)),1,
MIN(1,SUM(J133:J135)))</f>
        <v>0</v>
      </c>
      <c r="K136" s="101">
        <f t="shared" si="82"/>
        <v>0</v>
      </c>
      <c r="L136" s="101">
        <f t="shared" si="82"/>
        <v>0</v>
      </c>
      <c r="M136" s="101">
        <f t="shared" si="82"/>
        <v>0</v>
      </c>
      <c r="N136" s="101">
        <f t="shared" si="82"/>
        <v>0</v>
      </c>
      <c r="O136" s="101">
        <f t="shared" si="82"/>
        <v>0</v>
      </c>
      <c r="P136" s="101">
        <f t="shared" si="82"/>
        <v>0</v>
      </c>
      <c r="Q136" s="101">
        <f t="shared" si="82"/>
        <v>0</v>
      </c>
    </row>
    <row r="138" spans="4:17">
      <c r="D138" s="176" t="s">
        <v>426</v>
      </c>
    </row>
    <row r="140" spans="4:17">
      <c r="E140" s="5" t="str">
        <f>Fcast_TA!$E$84</f>
        <v>Dividend Determination Method:</v>
      </c>
      <c r="J140" s="5" t="str">
        <f>INDEX(LU_Eq_Ord_Div_Meth,DD_Eq_Ord_Div_Meth)</f>
        <v>% of NPAT</v>
      </c>
    </row>
    <row r="142" spans="4:17">
      <c r="E142" s="5" t="str">
        <f>Fcast_TA!$E$86</f>
        <v>Dividend Declaration Period?</v>
      </c>
      <c r="J142" s="117" t="str">
        <f>Fcast_TA!J86</f>
        <v>Yes</v>
      </c>
      <c r="K142" s="117" t="str">
        <f>Fcast_TA!K86</f>
        <v>Yes</v>
      </c>
      <c r="L142" s="117" t="str">
        <f>Fcast_TA!L86</f>
        <v>Yes</v>
      </c>
      <c r="M142" s="117" t="str">
        <f>Fcast_TA!M86</f>
        <v>Yes</v>
      </c>
      <c r="N142" s="117" t="str">
        <f>Fcast_TA!N86</f>
        <v>Yes</v>
      </c>
      <c r="O142" s="117" t="str">
        <f>Fcast_TA!O86</f>
        <v>Yes</v>
      </c>
      <c r="P142" s="117" t="str">
        <f>Fcast_TA!P86</f>
        <v>Yes</v>
      </c>
      <c r="Q142" s="117" t="str">
        <f>Fcast_TA!Q86</f>
        <v>Yes</v>
      </c>
    </row>
    <row r="144" spans="4:17" s="25" customFormat="1">
      <c r="E144" s="153" t="s">
        <v>281</v>
      </c>
      <c r="J144" s="150">
        <f>BS_TO!J61</f>
        <v>0</v>
      </c>
      <c r="K144" s="150">
        <f>BS_TO!K61</f>
        <v>60.918750000000003</v>
      </c>
      <c r="L144" s="150">
        <f>BS_TO!L61</f>
        <v>76.238906250000014</v>
      </c>
      <c r="M144" s="150">
        <f>BS_TO!M61</f>
        <v>91.970503906250016</v>
      </c>
      <c r="N144" s="150">
        <f>BS_TO!N61</f>
        <v>108.12382900390628</v>
      </c>
      <c r="O144" s="150">
        <f>BS_TO!O61</f>
        <v>124.65254972900394</v>
      </c>
      <c r="P144" s="150">
        <f>BS_TO!P61</f>
        <v>141.56747284722906</v>
      </c>
      <c r="Q144" s="150">
        <f>BS_TO!Q61</f>
        <v>158.93655029340977</v>
      </c>
    </row>
    <row r="145" spans="2:17" s="25" customFormat="1">
      <c r="E145" s="153" t="s">
        <v>282</v>
      </c>
      <c r="J145" s="151">
        <f>IS_TO!J39</f>
        <v>29.837499999999999</v>
      </c>
      <c r="K145" s="151">
        <f>IS_TO!K39</f>
        <v>30.6403125</v>
      </c>
      <c r="L145" s="151">
        <f>IS_TO!L39</f>
        <v>31.463195312500005</v>
      </c>
      <c r="M145" s="151">
        <f>IS_TO!M39</f>
        <v>32.306650195312507</v>
      </c>
      <c r="N145" s="151">
        <f>IS_TO!N39</f>
        <v>33.057441450195327</v>
      </c>
      <c r="O145" s="151">
        <f>IS_TO!O39</f>
        <v>33.829846236450202</v>
      </c>
      <c r="P145" s="151">
        <f>IS_TO!P39</f>
        <v>34.73815489236145</v>
      </c>
      <c r="Q145" s="151">
        <f>IS_TO!Q39</f>
        <v>35.669171264670474</v>
      </c>
    </row>
    <row r="146" spans="2:17">
      <c r="E146" s="115" t="s">
        <v>285</v>
      </c>
      <c r="J146" s="103">
        <f>MAX(0,SUM(J144:J145))</f>
        <v>29.837499999999999</v>
      </c>
      <c r="K146" s="103">
        <f t="shared" ref="K146:Q146" si="83">MAX(0,SUM(K144:K145))</f>
        <v>91.55906250000001</v>
      </c>
      <c r="L146" s="103">
        <f t="shared" si="83"/>
        <v>107.70210156250002</v>
      </c>
      <c r="M146" s="103">
        <f t="shared" si="83"/>
        <v>124.27715410156253</v>
      </c>
      <c r="N146" s="103">
        <f t="shared" si="83"/>
        <v>141.18127045410159</v>
      </c>
      <c r="O146" s="103">
        <f t="shared" si="83"/>
        <v>158.48239596545415</v>
      </c>
      <c r="P146" s="103">
        <f t="shared" si="83"/>
        <v>176.30562773959051</v>
      </c>
      <c r="Q146" s="103">
        <f t="shared" si="83"/>
        <v>194.60572155808023</v>
      </c>
    </row>
    <row r="147" spans="2:17" s="25" customFormat="1">
      <c r="E147" s="153" t="s">
        <v>283</v>
      </c>
      <c r="J147" s="150">
        <f>BS_TO!J20</f>
        <v>15</v>
      </c>
      <c r="K147" s="150">
        <f>BS_TO!K20</f>
        <v>38.570976027397265</v>
      </c>
      <c r="L147" s="150">
        <f>BS_TO!L20</f>
        <v>50.719312928082175</v>
      </c>
      <c r="M147" s="150">
        <f>BS_TO!M20</f>
        <v>63.206284003586049</v>
      </c>
      <c r="N147" s="150">
        <f>BS_TO!N20</f>
        <v>76.020728145066357</v>
      </c>
      <c r="O147" s="150">
        <f>BS_TO!O20</f>
        <v>94.084996348693011</v>
      </c>
      <c r="P147" s="150">
        <f>BS_TO!P20</f>
        <v>107.45007438241035</v>
      </c>
      <c r="Q147" s="150">
        <f>BS_TO!Q20</f>
        <v>121.237691183499</v>
      </c>
    </row>
    <row r="148" spans="2:17" s="25" customFormat="1">
      <c r="E148" s="153" t="s">
        <v>284</v>
      </c>
      <c r="J148" s="151">
        <f>CFS_TO!J101</f>
        <v>38.489726027397268</v>
      </c>
      <c r="K148" s="151">
        <f>CFS_TO!K101</f>
        <v>27.468493150684914</v>
      </c>
      <c r="L148" s="151">
        <f>CFS_TO!L101</f>
        <v>28.218568731753876</v>
      </c>
      <c r="M148" s="151">
        <f>CFS_TO!M101</f>
        <v>28.967769239136572</v>
      </c>
      <c r="N148" s="151">
        <f>CFS_TO!N101</f>
        <v>34.592988928724324</v>
      </c>
      <c r="O148" s="151">
        <f>CFS_TO!O101</f>
        <v>30.280001151942439</v>
      </c>
      <c r="P148" s="151">
        <f>CFS_TO!P101</f>
        <v>31.156694247269368</v>
      </c>
      <c r="Q148" s="151">
        <f>CFS_TO!Q101</f>
        <v>31.983671424981136</v>
      </c>
    </row>
    <row r="149" spans="2:17">
      <c r="E149" s="115" t="s">
        <v>286</v>
      </c>
      <c r="J149" s="103">
        <f>SUM(J147:J148)</f>
        <v>53.489726027397268</v>
      </c>
      <c r="K149" s="103">
        <f t="shared" ref="K149:Q149" si="84">SUM(K147:K148)</f>
        <v>66.039469178082186</v>
      </c>
      <c r="L149" s="103">
        <f t="shared" si="84"/>
        <v>78.937881659836052</v>
      </c>
      <c r="M149" s="103">
        <f t="shared" si="84"/>
        <v>92.174053242722621</v>
      </c>
      <c r="N149" s="103">
        <f t="shared" si="84"/>
        <v>110.61371707379068</v>
      </c>
      <c r="O149" s="103">
        <f t="shared" si="84"/>
        <v>124.36499750063545</v>
      </c>
      <c r="P149" s="103">
        <f t="shared" si="84"/>
        <v>138.60676862967972</v>
      </c>
      <c r="Q149" s="103">
        <f t="shared" si="84"/>
        <v>153.22136260848012</v>
      </c>
    </row>
    <row r="150" spans="2:17">
      <c r="E150" s="5" t="str">
        <f>Fcast_TA!E87</f>
        <v>Dividend Payout Ratio - % of NPAT</v>
      </c>
      <c r="J150" s="107">
        <f>IF(OR(J142&lt;&gt;"Yes",DD_Eq_Ord_Div_Meth&lt;&gt;1),0,Fcast_TA!J87)</f>
        <v>0.5</v>
      </c>
      <c r="K150" s="107">
        <f>IF(OR(K142&lt;&gt;"Yes",DD_Eq_Ord_Div_Meth&lt;&gt;1),0,Fcast_TA!K87)</f>
        <v>0.5</v>
      </c>
      <c r="L150" s="107">
        <f>IF(OR(L142&lt;&gt;"Yes",DD_Eq_Ord_Div_Meth&lt;&gt;1),0,Fcast_TA!L87)</f>
        <v>0.5</v>
      </c>
      <c r="M150" s="107">
        <f>IF(OR(M142&lt;&gt;"Yes",DD_Eq_Ord_Div_Meth&lt;&gt;1),0,Fcast_TA!M87)</f>
        <v>0.5</v>
      </c>
      <c r="N150" s="107">
        <f>IF(OR(N142&lt;&gt;"Yes",DD_Eq_Ord_Div_Meth&lt;&gt;1),0,Fcast_TA!N87)</f>
        <v>0.5</v>
      </c>
      <c r="O150" s="107">
        <f>IF(OR(O142&lt;&gt;"Yes",DD_Eq_Ord_Div_Meth&lt;&gt;1),0,Fcast_TA!O87)</f>
        <v>0.5</v>
      </c>
      <c r="P150" s="107">
        <f>IF(OR(P142&lt;&gt;"Yes",DD_Eq_Ord_Div_Meth&lt;&gt;1),0,Fcast_TA!P87)</f>
        <v>0.5</v>
      </c>
      <c r="Q150" s="107">
        <f>IF(OR(Q142&lt;&gt;"Yes",DD_Eq_Ord_Div_Meth&lt;&gt;1),0,Fcast_TA!Q87)</f>
        <v>0.5</v>
      </c>
    </row>
    <row r="151" spans="2:17">
      <c r="E151" s="5" t="str">
        <f>Fcast_TA!E88</f>
        <v>Assumed Dividends - Not Applied</v>
      </c>
      <c r="J151" s="130">
        <f>IF(OR(J142&lt;&gt;"Yes",DD_Eq_Ord_Div_Meth&lt;&gt;2),0,Fcast_TA!J88)</f>
        <v>0</v>
      </c>
      <c r="K151" s="130">
        <f>IF(OR(K142&lt;&gt;"Yes",DD_Eq_Ord_Div_Meth&lt;&gt;2),0,Fcast_TA!K88)</f>
        <v>0</v>
      </c>
      <c r="L151" s="130">
        <f>IF(OR(L142&lt;&gt;"Yes",DD_Eq_Ord_Div_Meth&lt;&gt;2),0,Fcast_TA!L88)</f>
        <v>0</v>
      </c>
      <c r="M151" s="130">
        <f>IF(OR(M142&lt;&gt;"Yes",DD_Eq_Ord_Div_Meth&lt;&gt;2),0,Fcast_TA!M88)</f>
        <v>0</v>
      </c>
      <c r="N151" s="130">
        <f>IF(OR(N142&lt;&gt;"Yes",DD_Eq_Ord_Div_Meth&lt;&gt;2),0,Fcast_TA!N88)</f>
        <v>0</v>
      </c>
      <c r="O151" s="130">
        <f>IF(OR(O142&lt;&gt;"Yes",DD_Eq_Ord_Div_Meth&lt;&gt;2),0,Fcast_TA!O88)</f>
        <v>0</v>
      </c>
      <c r="P151" s="130">
        <f>IF(OR(P142&lt;&gt;"Yes",DD_Eq_Ord_Div_Meth&lt;&gt;2),0,Fcast_TA!P88)</f>
        <v>0</v>
      </c>
      <c r="Q151" s="130">
        <f>IF(OR(Q142&lt;&gt;"Yes",DD_Eq_Ord_Div_Meth&lt;&gt;2),0,Fcast_TA!Q88)</f>
        <v>0</v>
      </c>
    </row>
    <row r="152" spans="2:17">
      <c r="E152" s="114" t="s">
        <v>287</v>
      </c>
      <c r="J152" s="152">
        <f t="shared" ref="J152:Q152" si="85">IF(J142&lt;&gt;"Yes",0,IF(DD_Eq_Ord_Div_Meth=1,J150*IF(CB_Eq_Ord_Inc_Open_RP_In_NPAT,J146,J145),J151))</f>
        <v>14.918749999999999</v>
      </c>
      <c r="K152" s="152">
        <f t="shared" si="85"/>
        <v>15.32015625</v>
      </c>
      <c r="L152" s="152">
        <f t="shared" si="85"/>
        <v>15.731597656250003</v>
      </c>
      <c r="M152" s="152">
        <f t="shared" si="85"/>
        <v>16.153325097656253</v>
      </c>
      <c r="N152" s="152">
        <f t="shared" si="85"/>
        <v>16.528720725097664</v>
      </c>
      <c r="O152" s="152">
        <f t="shared" si="85"/>
        <v>16.914923118225101</v>
      </c>
      <c r="P152" s="152">
        <f t="shared" si="85"/>
        <v>17.369077446180725</v>
      </c>
      <c r="Q152" s="152">
        <f t="shared" si="85"/>
        <v>17.834585632335237</v>
      </c>
    </row>
    <row r="153" spans="2:17">
      <c r="E153" s="115" t="s">
        <v>288</v>
      </c>
      <c r="J153" s="103">
        <f t="shared" ref="J153:Q153" si="86">IF(CB_Eq_Ord_Cash_Limit_Div,MAX(0,MIN(J146,J149,J152)),MAX(0,MIN(J146,J152)))</f>
        <v>14.918749999999999</v>
      </c>
      <c r="K153" s="103">
        <f t="shared" si="86"/>
        <v>15.32015625</v>
      </c>
      <c r="L153" s="103">
        <f t="shared" si="86"/>
        <v>15.731597656250003</v>
      </c>
      <c r="M153" s="103">
        <f t="shared" si="86"/>
        <v>16.153325097656253</v>
      </c>
      <c r="N153" s="103">
        <f t="shared" si="86"/>
        <v>16.528720725097664</v>
      </c>
      <c r="O153" s="103">
        <f t="shared" si="86"/>
        <v>16.914923118225101</v>
      </c>
      <c r="P153" s="103">
        <f t="shared" si="86"/>
        <v>17.369077446180725</v>
      </c>
      <c r="Q153" s="103">
        <f t="shared" si="86"/>
        <v>17.834585632335237</v>
      </c>
    </row>
    <row r="155" spans="2:17">
      <c r="E155" s="114" t="s">
        <v>427</v>
      </c>
      <c r="I155" s="104">
        <f>IF(ISERROR(SUM(J155:Q155)),0,MIN(SUM(J155:Q155),1))</f>
        <v>0</v>
      </c>
      <c r="J155" s="101">
        <f t="shared" ref="J155:Q155" si="87">IF(ISERROR(J152&lt;&gt;J153),0,(J152&lt;&gt;J153)*1)</f>
        <v>0</v>
      </c>
      <c r="K155" s="101">
        <f t="shared" si="87"/>
        <v>0</v>
      </c>
      <c r="L155" s="101">
        <f t="shared" si="87"/>
        <v>0</v>
      </c>
      <c r="M155" s="101">
        <f t="shared" si="87"/>
        <v>0</v>
      </c>
      <c r="N155" s="101">
        <f t="shared" si="87"/>
        <v>0</v>
      </c>
      <c r="O155" s="101">
        <f t="shared" si="87"/>
        <v>0</v>
      </c>
      <c r="P155" s="101">
        <f t="shared" si="87"/>
        <v>0</v>
      </c>
      <c r="Q155" s="101">
        <f t="shared" si="87"/>
        <v>0</v>
      </c>
    </row>
    <row r="157" spans="2:17" ht="12.75">
      <c r="B157" s="126" t="s">
        <v>421</v>
      </c>
    </row>
    <row r="159" spans="2:17" s="16" customFormat="1" ht="12.75">
      <c r="B159" s="126"/>
      <c r="C159" s="132" t="str">
        <f>"Tax Expense ("&amp;INDEX(LU_Denom,DD_TS_Denom)&amp;")"</f>
        <v>Tax Expense ($Millions)</v>
      </c>
    </row>
    <row r="161" spans="3:17">
      <c r="D161" s="5" t="str">
        <f>C18</f>
        <v>Revenue</v>
      </c>
      <c r="J161" s="100">
        <f>J18</f>
        <v>125</v>
      </c>
      <c r="K161" s="100">
        <f t="shared" ref="K161:Q161" si="88">K18</f>
        <v>128.125</v>
      </c>
      <c r="L161" s="100">
        <f t="shared" si="88"/>
        <v>131.328125</v>
      </c>
      <c r="M161" s="100">
        <f t="shared" si="88"/>
        <v>134.611328125</v>
      </c>
      <c r="N161" s="100">
        <f t="shared" si="88"/>
        <v>137.97661132812499</v>
      </c>
      <c r="O161" s="100">
        <f t="shared" si="88"/>
        <v>141.4260266113281</v>
      </c>
      <c r="P161" s="100">
        <f t="shared" si="88"/>
        <v>144.96167727661128</v>
      </c>
      <c r="Q161" s="100">
        <f t="shared" si="88"/>
        <v>148.58571920852654</v>
      </c>
    </row>
    <row r="162" spans="3:17" s="16" customFormat="1">
      <c r="D162" s="5" t="str">
        <f>C19</f>
        <v>Cost of Goods Sold</v>
      </c>
      <c r="J162" s="100">
        <f>-J19</f>
        <v>-25</v>
      </c>
      <c r="K162" s="100">
        <f t="shared" ref="K162:Q162" si="89">-K19</f>
        <v>-25.624999999999996</v>
      </c>
      <c r="L162" s="100">
        <f t="shared" si="89"/>
        <v>-26.265624999999993</v>
      </c>
      <c r="M162" s="100">
        <f t="shared" si="89"/>
        <v>-26.922265624999991</v>
      </c>
      <c r="N162" s="100">
        <f t="shared" si="89"/>
        <v>-27.59532226562499</v>
      </c>
      <c r="O162" s="100">
        <f t="shared" si="89"/>
        <v>-28.285205322265611</v>
      </c>
      <c r="P162" s="100">
        <f t="shared" si="89"/>
        <v>-28.992335455322248</v>
      </c>
      <c r="Q162" s="100">
        <f t="shared" si="89"/>
        <v>-29.717143841705301</v>
      </c>
    </row>
    <row r="163" spans="3:17" s="16" customFormat="1">
      <c r="D163" s="5" t="str">
        <f t="shared" ref="D163" si="90">C20</f>
        <v>Operating Expenditure</v>
      </c>
      <c r="J163" s="100">
        <f t="shared" ref="J163:Q163" si="91">-J20</f>
        <v>-40</v>
      </c>
      <c r="K163" s="100">
        <f t="shared" si="91"/>
        <v>-41</v>
      </c>
      <c r="L163" s="100">
        <f t="shared" si="91"/>
        <v>-42.024999999999999</v>
      </c>
      <c r="M163" s="100">
        <f t="shared" si="91"/>
        <v>-43.075624999999995</v>
      </c>
      <c r="N163" s="100">
        <f t="shared" si="91"/>
        <v>-44.152515624999992</v>
      </c>
      <c r="O163" s="100">
        <f t="shared" si="91"/>
        <v>-45.256328515624986</v>
      </c>
      <c r="P163" s="100">
        <f t="shared" si="91"/>
        <v>-46.387736728515605</v>
      </c>
      <c r="Q163" s="100">
        <f t="shared" si="91"/>
        <v>-47.547430146728495</v>
      </c>
    </row>
    <row r="164" spans="3:17">
      <c r="D164" s="5" t="str">
        <f>D69</f>
        <v>Depreciation</v>
      </c>
      <c r="J164" s="100">
        <f>J69</f>
        <v>-13.5</v>
      </c>
      <c r="K164" s="100">
        <f t="shared" ref="K164:Q164" si="92">K69</f>
        <v>-13.837499999999999</v>
      </c>
      <c r="L164" s="100">
        <f t="shared" si="92"/>
        <v>-14.183437499999997</v>
      </c>
      <c r="M164" s="100">
        <f t="shared" si="92"/>
        <v>-14.538023437499994</v>
      </c>
      <c r="N164" s="100">
        <f t="shared" si="92"/>
        <v>-14.901474023437492</v>
      </c>
      <c r="O164" s="100">
        <f t="shared" si="92"/>
        <v>-15.274010874023428</v>
      </c>
      <c r="P164" s="100">
        <f t="shared" si="92"/>
        <v>-15.655861145874013</v>
      </c>
      <c r="Q164" s="100">
        <f t="shared" si="92"/>
        <v>-16.047257674520861</v>
      </c>
    </row>
    <row r="165" spans="3:17" s="16" customFormat="1">
      <c r="D165" s="5" t="str">
        <f>D81</f>
        <v>Amortization</v>
      </c>
      <c r="J165" s="100">
        <f>J81</f>
        <v>-0.625</v>
      </c>
      <c r="K165" s="100">
        <f t="shared" ref="K165:Q165" si="93">K81</f>
        <v>-0.640625</v>
      </c>
      <c r="L165" s="100">
        <f t="shared" si="93"/>
        <v>-0.65664062499999998</v>
      </c>
      <c r="M165" s="100">
        <f t="shared" si="93"/>
        <v>-0.67305664062499992</v>
      </c>
      <c r="N165" s="100">
        <f t="shared" si="93"/>
        <v>-0.68988305664062488</v>
      </c>
      <c r="O165" s="100">
        <f t="shared" si="93"/>
        <v>-0.70713013305664041</v>
      </c>
      <c r="P165" s="100">
        <f t="shared" si="93"/>
        <v>-0.72480838638305634</v>
      </c>
      <c r="Q165" s="100">
        <f t="shared" si="93"/>
        <v>-0.74292859604263273</v>
      </c>
    </row>
    <row r="166" spans="3:17">
      <c r="D166" s="5" t="str">
        <f>E110</f>
        <v>Interest Expense</v>
      </c>
      <c r="E166" s="5"/>
      <c r="J166" s="100">
        <f>-J110</f>
        <v>-3.25</v>
      </c>
      <c r="K166" s="100">
        <f t="shared" ref="K166:Q166" si="94">-K110</f>
        <v>-3.25</v>
      </c>
      <c r="L166" s="100">
        <f t="shared" si="94"/>
        <v>-3.25</v>
      </c>
      <c r="M166" s="100">
        <f t="shared" si="94"/>
        <v>-3.25</v>
      </c>
      <c r="N166" s="100">
        <f t="shared" si="94"/>
        <v>-3.4125000000000001</v>
      </c>
      <c r="O166" s="100">
        <f t="shared" si="94"/>
        <v>-3.5750000000000002</v>
      </c>
      <c r="P166" s="100">
        <f t="shared" si="94"/>
        <v>-3.5750000000000002</v>
      </c>
      <c r="Q166" s="100">
        <f t="shared" si="94"/>
        <v>-3.5750000000000002</v>
      </c>
    </row>
    <row r="167" spans="3:17">
      <c r="D167" s="115" t="s">
        <v>6</v>
      </c>
      <c r="J167" s="134">
        <f>SUM(J161:J166)</f>
        <v>42.625</v>
      </c>
      <c r="K167" s="134">
        <f t="shared" ref="K167:Q167" si="95">SUM(K161:K166)</f>
        <v>43.771875000000001</v>
      </c>
      <c r="L167" s="134">
        <f t="shared" si="95"/>
        <v>44.947421875000003</v>
      </c>
      <c r="M167" s="134">
        <f t="shared" si="95"/>
        <v>46.15235742187501</v>
      </c>
      <c r="N167" s="134">
        <f t="shared" si="95"/>
        <v>47.22491635742189</v>
      </c>
      <c r="O167" s="134">
        <f t="shared" si="95"/>
        <v>48.328351766357429</v>
      </c>
      <c r="P167" s="134">
        <f t="shared" si="95"/>
        <v>49.625935560516361</v>
      </c>
      <c r="Q167" s="134">
        <f t="shared" si="95"/>
        <v>50.955958949529247</v>
      </c>
    </row>
    <row r="168" spans="3:17">
      <c r="J168" s="100"/>
      <c r="K168" s="100"/>
      <c r="L168" s="100"/>
      <c r="M168" s="100"/>
      <c r="N168" s="100"/>
      <c r="O168" s="100"/>
      <c r="P168" s="100"/>
      <c r="Q168" s="100"/>
    </row>
    <row r="169" spans="3:17">
      <c r="D169" s="115" t="s">
        <v>7</v>
      </c>
      <c r="J169" s="147">
        <f t="shared" ref="J169:Q169" si="96">J167</f>
        <v>42.625</v>
      </c>
      <c r="K169" s="147">
        <f t="shared" si="96"/>
        <v>43.771875000000001</v>
      </c>
      <c r="L169" s="147">
        <f t="shared" si="96"/>
        <v>44.947421875000003</v>
      </c>
      <c r="M169" s="147">
        <f t="shared" si="96"/>
        <v>46.15235742187501</v>
      </c>
      <c r="N169" s="147">
        <f t="shared" si="96"/>
        <v>47.22491635742189</v>
      </c>
      <c r="O169" s="147">
        <f t="shared" si="96"/>
        <v>48.328351766357429</v>
      </c>
      <c r="P169" s="147">
        <f t="shared" si="96"/>
        <v>49.625935560516361</v>
      </c>
      <c r="Q169" s="147">
        <f t="shared" si="96"/>
        <v>50.955958949529247</v>
      </c>
    </row>
    <row r="171" spans="3:17">
      <c r="D171" s="5" t="str">
        <f>Fcast_TA!D106</f>
        <v>Corporate Taxation Rate</v>
      </c>
      <c r="J171" s="125">
        <f>Fcast_TA!$J$106</f>
        <v>0.3</v>
      </c>
      <c r="K171" s="125">
        <f>Fcast_TA!$J$106</f>
        <v>0.3</v>
      </c>
      <c r="L171" s="125">
        <f>Fcast_TA!$J$106</f>
        <v>0.3</v>
      </c>
      <c r="M171" s="125">
        <f>Fcast_TA!$J$106</f>
        <v>0.3</v>
      </c>
      <c r="N171" s="125">
        <f>Fcast_TA!$J$106</f>
        <v>0.3</v>
      </c>
      <c r="O171" s="125">
        <f>Fcast_TA!$J$106</f>
        <v>0.3</v>
      </c>
      <c r="P171" s="125">
        <f>Fcast_TA!$J$106</f>
        <v>0.3</v>
      </c>
      <c r="Q171" s="125">
        <f>Fcast_TA!$J$106</f>
        <v>0.3</v>
      </c>
    </row>
    <row r="173" spans="3:17" ht="11.25" thickBot="1">
      <c r="D173" s="115" t="s">
        <v>8</v>
      </c>
      <c r="J173" s="146">
        <f t="shared" ref="J173:Q173" si="97">J169*J171</f>
        <v>12.7875</v>
      </c>
      <c r="K173" s="146">
        <f t="shared" si="97"/>
        <v>13.131562499999999</v>
      </c>
      <c r="L173" s="146">
        <f t="shared" si="97"/>
        <v>13.4842265625</v>
      </c>
      <c r="M173" s="146">
        <f t="shared" si="97"/>
        <v>13.845707226562503</v>
      </c>
      <c r="N173" s="146">
        <f t="shared" si="97"/>
        <v>14.167474907226566</v>
      </c>
      <c r="O173" s="146">
        <f t="shared" si="97"/>
        <v>14.498505529907227</v>
      </c>
      <c r="P173" s="146">
        <f t="shared" si="97"/>
        <v>14.887780668154907</v>
      </c>
      <c r="Q173" s="146">
        <f t="shared" si="97"/>
        <v>15.286787684858773</v>
      </c>
    </row>
    <row r="174" spans="3:17" ht="11.25" thickTop="1"/>
    <row r="175" spans="3:17" ht="11.25">
      <c r="C175" s="99" t="s">
        <v>502</v>
      </c>
    </row>
    <row r="177" spans="2:17">
      <c r="D177" s="175" t="s">
        <v>247</v>
      </c>
      <c r="J177" s="100">
        <f>IF(J$12=1,Fcast_TA!$J$102,I180)</f>
        <v>3.5</v>
      </c>
      <c r="K177" s="100">
        <f>IF(K$12=1,Fcast_TA!$J$102,J180)</f>
        <v>12.787500000000001</v>
      </c>
      <c r="L177" s="100">
        <f>IF(L$12=1,Fcast_TA!$J$102,K180)</f>
        <v>13.131562500000003</v>
      </c>
      <c r="M177" s="100">
        <f>IF(M$12=1,Fcast_TA!$J$102,L180)</f>
        <v>13.484226562500004</v>
      </c>
      <c r="N177" s="100">
        <f>IF(N$12=1,Fcast_TA!$J$102,M180)</f>
        <v>13.845707226562508</v>
      </c>
      <c r="O177" s="100">
        <f>IF(O$12=1,Fcast_TA!$J$102,N180)</f>
        <v>14.16747490722657</v>
      </c>
      <c r="P177" s="100">
        <f>IF(P$12=1,Fcast_TA!$J$102,O180)</f>
        <v>14.498505529907231</v>
      </c>
      <c r="Q177" s="100">
        <f>IF(Q$12=1,Fcast_TA!$J$102,P180)</f>
        <v>14.88778066815491</v>
      </c>
    </row>
    <row r="178" spans="2:17">
      <c r="D178" s="5" t="str">
        <f>D173</f>
        <v>Tax Expense / (Benefit)</v>
      </c>
      <c r="J178" s="100">
        <f>J173</f>
        <v>12.7875</v>
      </c>
      <c r="K178" s="100">
        <f t="shared" ref="K178:Q178" si="98">K173</f>
        <v>13.131562499999999</v>
      </c>
      <c r="L178" s="100">
        <f t="shared" si="98"/>
        <v>13.4842265625</v>
      </c>
      <c r="M178" s="100">
        <f t="shared" si="98"/>
        <v>13.845707226562503</v>
      </c>
      <c r="N178" s="100">
        <f t="shared" si="98"/>
        <v>14.167474907226566</v>
      </c>
      <c r="O178" s="100">
        <f t="shared" si="98"/>
        <v>14.498505529907227</v>
      </c>
      <c r="P178" s="100">
        <f t="shared" si="98"/>
        <v>14.887780668154907</v>
      </c>
      <c r="Q178" s="100">
        <f t="shared" si="98"/>
        <v>15.286787684858773</v>
      </c>
    </row>
    <row r="179" spans="2:17">
      <c r="D179" s="175" t="s">
        <v>488</v>
      </c>
      <c r="J179" s="102">
        <f>IF(J$12=1,-J177,-I178)</f>
        <v>-3.5</v>
      </c>
      <c r="K179" s="102">
        <f t="shared" ref="K179:Q179" si="99">IF(K$12=1,-K177,-J178)</f>
        <v>-12.7875</v>
      </c>
      <c r="L179" s="102">
        <f t="shared" si="99"/>
        <v>-13.131562499999999</v>
      </c>
      <c r="M179" s="102">
        <f t="shared" si="99"/>
        <v>-13.4842265625</v>
      </c>
      <c r="N179" s="102">
        <f t="shared" si="99"/>
        <v>-13.845707226562503</v>
      </c>
      <c r="O179" s="102">
        <f t="shared" si="99"/>
        <v>-14.167474907226566</v>
      </c>
      <c r="P179" s="102">
        <f t="shared" si="99"/>
        <v>-14.498505529907227</v>
      </c>
      <c r="Q179" s="102">
        <f t="shared" si="99"/>
        <v>-14.887780668154907</v>
      </c>
    </row>
    <row r="180" spans="2:17">
      <c r="D180" s="176" t="s">
        <v>411</v>
      </c>
      <c r="J180" s="103">
        <f>SUM(J177:J179)</f>
        <v>12.787500000000001</v>
      </c>
      <c r="K180" s="103">
        <f t="shared" ref="K180:Q180" si="100">SUM(K177:K179)</f>
        <v>13.131562500000003</v>
      </c>
      <c r="L180" s="103">
        <f t="shared" si="100"/>
        <v>13.484226562500004</v>
      </c>
      <c r="M180" s="103">
        <f t="shared" si="100"/>
        <v>13.845707226562508</v>
      </c>
      <c r="N180" s="103">
        <f t="shared" si="100"/>
        <v>14.16747490722657</v>
      </c>
      <c r="O180" s="103">
        <f t="shared" si="100"/>
        <v>14.498505529907231</v>
      </c>
      <c r="P180" s="103">
        <f t="shared" si="100"/>
        <v>14.88778066815491</v>
      </c>
      <c r="Q180" s="103">
        <f t="shared" si="100"/>
        <v>15.286787684858776</v>
      </c>
    </row>
    <row r="183" spans="2:17" ht="12.75">
      <c r="B183" s="126" t="s">
        <v>504</v>
      </c>
    </row>
    <row r="185" spans="2:17" ht="11.25">
      <c r="C185" s="132" t="str">
        <f>Fcast_TA!D123&amp;" ("&amp;INDEX(LU_Denom,DD_TS_Denom)&amp;")"</f>
        <v>Other Current Assets ($Millions)</v>
      </c>
    </row>
    <row r="187" spans="2:17">
      <c r="D187" s="175" t="s">
        <v>247</v>
      </c>
      <c r="J187" s="100">
        <f>IF(J$12=1,Fcast_TA!$I$123,I189)</f>
        <v>2</v>
      </c>
      <c r="K187" s="100">
        <f>IF(K$12=1,Fcast_TA!$I$123,J189)</f>
        <v>3</v>
      </c>
      <c r="L187" s="100">
        <f>IF(L$12=1,Fcast_TA!$I$123,K189)</f>
        <v>4</v>
      </c>
      <c r="M187" s="100">
        <f>IF(M$12=1,Fcast_TA!$I$123,L189)</f>
        <v>5</v>
      </c>
      <c r="N187" s="100">
        <f>IF(N$12=1,Fcast_TA!$I$123,M189)</f>
        <v>6</v>
      </c>
      <c r="O187" s="100">
        <f>IF(O$12=1,Fcast_TA!$I$123,N189)</f>
        <v>7</v>
      </c>
      <c r="P187" s="100">
        <f>IF(P$12=1,Fcast_TA!$I$123,O189)</f>
        <v>8</v>
      </c>
      <c r="Q187" s="100">
        <f>IF(Q$12=1,Fcast_TA!$I$123,P189)</f>
        <v>9</v>
      </c>
    </row>
    <row r="188" spans="2:17">
      <c r="D188" s="175" t="s">
        <v>505</v>
      </c>
      <c r="J188" s="102">
        <f>J189-J187</f>
        <v>1</v>
      </c>
      <c r="K188" s="102">
        <f t="shared" ref="K188:Q188" si="101">K189-K187</f>
        <v>1</v>
      </c>
      <c r="L188" s="102">
        <f t="shared" si="101"/>
        <v>1</v>
      </c>
      <c r="M188" s="102">
        <f t="shared" si="101"/>
        <v>1</v>
      </c>
      <c r="N188" s="102">
        <f t="shared" si="101"/>
        <v>1</v>
      </c>
      <c r="O188" s="102">
        <f t="shared" si="101"/>
        <v>1</v>
      </c>
      <c r="P188" s="102">
        <f t="shared" si="101"/>
        <v>1</v>
      </c>
      <c r="Q188" s="102">
        <f t="shared" si="101"/>
        <v>1</v>
      </c>
    </row>
    <row r="189" spans="2:17">
      <c r="D189" s="176" t="s">
        <v>411</v>
      </c>
      <c r="J189" s="103">
        <f>Fcast_TA!J123</f>
        <v>3</v>
      </c>
      <c r="K189" s="103">
        <f>Fcast_TA!K123</f>
        <v>4</v>
      </c>
      <c r="L189" s="103">
        <f>Fcast_TA!L123</f>
        <v>5</v>
      </c>
      <c r="M189" s="103">
        <f>Fcast_TA!M123</f>
        <v>6</v>
      </c>
      <c r="N189" s="103">
        <f>Fcast_TA!N123</f>
        <v>7</v>
      </c>
      <c r="O189" s="103">
        <f>Fcast_TA!O123</f>
        <v>8</v>
      </c>
      <c r="P189" s="103">
        <f>Fcast_TA!P123</f>
        <v>9</v>
      </c>
      <c r="Q189" s="103">
        <f>Fcast_TA!Q123</f>
        <v>10</v>
      </c>
    </row>
    <row r="190" spans="2:17">
      <c r="K190" s="16"/>
      <c r="L190" s="16"/>
      <c r="M190" s="16"/>
      <c r="N190" s="16"/>
      <c r="O190" s="16"/>
      <c r="P190" s="16"/>
      <c r="Q190" s="16"/>
    </row>
    <row r="191" spans="2:17" s="16" customFormat="1" ht="11.25">
      <c r="C191" s="132" t="str">
        <f>Fcast_TA!D124&amp;" ("&amp;INDEX(LU_Denom,DD_TS_Denom)&amp;")"</f>
        <v>Other Current Liabilities ($Millions)</v>
      </c>
    </row>
    <row r="192" spans="2:17" s="16" customFormat="1"/>
    <row r="193" spans="3:17" s="16" customFormat="1">
      <c r="D193" s="175" t="s">
        <v>247</v>
      </c>
      <c r="J193" s="100">
        <f>IF(J$12=1,Fcast_TA!$I$124,I195)</f>
        <v>3</v>
      </c>
      <c r="K193" s="100">
        <f>IF(K$12=1,Fcast_TA!$I$124,J195)</f>
        <v>4</v>
      </c>
      <c r="L193" s="100">
        <f>IF(L$12=1,Fcast_TA!$I$124,K195)</f>
        <v>5</v>
      </c>
      <c r="M193" s="100">
        <f>IF(M$12=1,Fcast_TA!$I$124,L195)</f>
        <v>6</v>
      </c>
      <c r="N193" s="100">
        <f>IF(N$12=1,Fcast_TA!$I$124,M195)</f>
        <v>7</v>
      </c>
      <c r="O193" s="100">
        <f>IF(O$12=1,Fcast_TA!$I$124,N195)</f>
        <v>8</v>
      </c>
      <c r="P193" s="100">
        <f>IF(P$12=1,Fcast_TA!$I$124,O195)</f>
        <v>9</v>
      </c>
      <c r="Q193" s="100">
        <f>IF(Q$12=1,Fcast_TA!$I$124,P195)</f>
        <v>10</v>
      </c>
    </row>
    <row r="194" spans="3:17" s="16" customFormat="1">
      <c r="D194" s="175" t="s">
        <v>505</v>
      </c>
      <c r="J194" s="102">
        <f>J195-J193</f>
        <v>1</v>
      </c>
      <c r="K194" s="102">
        <f t="shared" ref="K194:Q194" si="102">K195-K193</f>
        <v>1</v>
      </c>
      <c r="L194" s="102">
        <f t="shared" si="102"/>
        <v>1</v>
      </c>
      <c r="M194" s="102">
        <f t="shared" si="102"/>
        <v>1</v>
      </c>
      <c r="N194" s="102">
        <f t="shared" si="102"/>
        <v>1</v>
      </c>
      <c r="O194" s="102">
        <f t="shared" si="102"/>
        <v>1</v>
      </c>
      <c r="P194" s="102">
        <f t="shared" si="102"/>
        <v>1</v>
      </c>
      <c r="Q194" s="102">
        <f t="shared" si="102"/>
        <v>1</v>
      </c>
    </row>
    <row r="195" spans="3:17" s="16" customFormat="1">
      <c r="D195" s="176" t="s">
        <v>411</v>
      </c>
      <c r="J195" s="103">
        <f>Fcast_TA!J124</f>
        <v>4</v>
      </c>
      <c r="K195" s="103">
        <f>Fcast_TA!K124</f>
        <v>5</v>
      </c>
      <c r="L195" s="103">
        <f>Fcast_TA!L124</f>
        <v>6</v>
      </c>
      <c r="M195" s="103">
        <f>Fcast_TA!M124</f>
        <v>7</v>
      </c>
      <c r="N195" s="103">
        <f>Fcast_TA!N124</f>
        <v>8</v>
      </c>
      <c r="O195" s="103">
        <f>Fcast_TA!O124</f>
        <v>9</v>
      </c>
      <c r="P195" s="103">
        <f>Fcast_TA!P124</f>
        <v>10</v>
      </c>
      <c r="Q195" s="103">
        <f>Fcast_TA!Q124</f>
        <v>11</v>
      </c>
    </row>
    <row r="196" spans="3:17">
      <c r="K196" s="16"/>
      <c r="L196" s="16"/>
      <c r="M196" s="16"/>
      <c r="N196" s="16"/>
      <c r="O196" s="16"/>
      <c r="P196" s="16"/>
      <c r="Q196" s="16"/>
    </row>
    <row r="197" spans="3:17" s="16" customFormat="1" ht="11.25">
      <c r="C197" s="132" t="str">
        <f>Fcast_TA!D125&amp;" ("&amp;INDEX(LU_Denom,DD_TS_Denom)&amp;")"</f>
        <v>Other Non-Current Assets ($Millions)</v>
      </c>
    </row>
    <row r="198" spans="3:17" s="16" customFormat="1"/>
    <row r="199" spans="3:17" s="16" customFormat="1">
      <c r="D199" s="175" t="s">
        <v>247</v>
      </c>
      <c r="J199" s="100">
        <f>IF(J$12=1,Fcast_TA!$I$125,I201)</f>
        <v>4</v>
      </c>
      <c r="K199" s="100">
        <f>IF(K$12=1,Fcast_TA!$I$125,J201)</f>
        <v>5</v>
      </c>
      <c r="L199" s="100">
        <f>IF(L$12=1,Fcast_TA!$I$125,K201)</f>
        <v>6</v>
      </c>
      <c r="M199" s="100">
        <f>IF(M$12=1,Fcast_TA!$I$125,L201)</f>
        <v>7</v>
      </c>
      <c r="N199" s="100">
        <f>IF(N$12=1,Fcast_TA!$I$125,M201)</f>
        <v>8</v>
      </c>
      <c r="O199" s="100">
        <f>IF(O$12=1,Fcast_TA!$I$125,N201)</f>
        <v>9</v>
      </c>
      <c r="P199" s="100">
        <f>IF(P$12=1,Fcast_TA!$I$125,O201)</f>
        <v>10</v>
      </c>
      <c r="Q199" s="100">
        <f>IF(Q$12=1,Fcast_TA!$I$125,P201)</f>
        <v>11</v>
      </c>
    </row>
    <row r="200" spans="3:17" s="16" customFormat="1">
      <c r="D200" s="175" t="s">
        <v>505</v>
      </c>
      <c r="J200" s="102">
        <f>J201-J199</f>
        <v>1</v>
      </c>
      <c r="K200" s="102">
        <f t="shared" ref="K200:Q200" si="103">K201-K199</f>
        <v>1</v>
      </c>
      <c r="L200" s="102">
        <f t="shared" si="103"/>
        <v>1</v>
      </c>
      <c r="M200" s="102">
        <f t="shared" si="103"/>
        <v>1</v>
      </c>
      <c r="N200" s="102">
        <f t="shared" si="103"/>
        <v>1</v>
      </c>
      <c r="O200" s="102">
        <f t="shared" si="103"/>
        <v>1</v>
      </c>
      <c r="P200" s="102">
        <f t="shared" si="103"/>
        <v>1</v>
      </c>
      <c r="Q200" s="102">
        <f t="shared" si="103"/>
        <v>1</v>
      </c>
    </row>
    <row r="201" spans="3:17" s="16" customFormat="1">
      <c r="D201" s="176" t="s">
        <v>411</v>
      </c>
      <c r="J201" s="103">
        <f>Fcast_TA!J125</f>
        <v>5</v>
      </c>
      <c r="K201" s="103">
        <f>Fcast_TA!K125</f>
        <v>6</v>
      </c>
      <c r="L201" s="103">
        <f>Fcast_TA!L125</f>
        <v>7</v>
      </c>
      <c r="M201" s="103">
        <f>Fcast_TA!M125</f>
        <v>8</v>
      </c>
      <c r="N201" s="103">
        <f>Fcast_TA!N125</f>
        <v>9</v>
      </c>
      <c r="O201" s="103">
        <f>Fcast_TA!O125</f>
        <v>10</v>
      </c>
      <c r="P201" s="103">
        <f>Fcast_TA!P125</f>
        <v>11</v>
      </c>
      <c r="Q201" s="103">
        <f>Fcast_TA!Q125</f>
        <v>12</v>
      </c>
    </row>
    <row r="202" spans="3:17">
      <c r="K202" s="16"/>
      <c r="L202" s="16"/>
      <c r="M202" s="16"/>
      <c r="N202" s="16"/>
      <c r="O202" s="16"/>
      <c r="P202" s="16"/>
      <c r="Q202" s="16"/>
    </row>
    <row r="203" spans="3:17" s="16" customFormat="1" ht="11.25">
      <c r="C203" s="132" t="str">
        <f>Fcast_TA!D126&amp;" ("&amp;INDEX(LU_Denom,DD_TS_Denom)&amp;")"</f>
        <v>Other Non-Current Liabilities ($Millions)</v>
      </c>
    </row>
    <row r="204" spans="3:17" s="16" customFormat="1"/>
    <row r="205" spans="3:17" s="16" customFormat="1">
      <c r="D205" s="175" t="s">
        <v>247</v>
      </c>
      <c r="J205" s="100">
        <f>IF(J$12=1,Fcast_TA!$I$126,I207)</f>
        <v>5</v>
      </c>
      <c r="K205" s="100">
        <f>IF(K$12=1,Fcast_TA!$I$126,J207)</f>
        <v>6</v>
      </c>
      <c r="L205" s="100">
        <f>IF(L$12=1,Fcast_TA!$I$126,K207)</f>
        <v>7</v>
      </c>
      <c r="M205" s="100">
        <f>IF(M$12=1,Fcast_TA!$I$126,L207)</f>
        <v>8</v>
      </c>
      <c r="N205" s="100">
        <f>IF(N$12=1,Fcast_TA!$I$126,M207)</f>
        <v>9</v>
      </c>
      <c r="O205" s="100">
        <f>IF(O$12=1,Fcast_TA!$I$126,N207)</f>
        <v>10</v>
      </c>
      <c r="P205" s="100">
        <f>IF(P$12=1,Fcast_TA!$I$126,O207)</f>
        <v>11</v>
      </c>
      <c r="Q205" s="100">
        <f>IF(Q$12=1,Fcast_TA!$I$126,P207)</f>
        <v>12</v>
      </c>
    </row>
    <row r="206" spans="3:17" s="16" customFormat="1">
      <c r="D206" s="175" t="s">
        <v>505</v>
      </c>
      <c r="J206" s="102">
        <f>J207-J205</f>
        <v>1</v>
      </c>
      <c r="K206" s="102">
        <f t="shared" ref="K206:Q206" si="104">K207-K205</f>
        <v>1</v>
      </c>
      <c r="L206" s="102">
        <f t="shared" si="104"/>
        <v>1</v>
      </c>
      <c r="M206" s="102">
        <f t="shared" si="104"/>
        <v>1</v>
      </c>
      <c r="N206" s="102">
        <f t="shared" si="104"/>
        <v>1</v>
      </c>
      <c r="O206" s="102">
        <f t="shared" si="104"/>
        <v>1</v>
      </c>
      <c r="P206" s="102">
        <f t="shared" si="104"/>
        <v>1</v>
      </c>
      <c r="Q206" s="102">
        <f t="shared" si="104"/>
        <v>1</v>
      </c>
    </row>
    <row r="207" spans="3:17" s="16" customFormat="1">
      <c r="D207" s="176" t="s">
        <v>411</v>
      </c>
      <c r="J207" s="103">
        <f>Fcast_TA!J126</f>
        <v>6</v>
      </c>
      <c r="K207" s="103">
        <f>Fcast_TA!K126</f>
        <v>7</v>
      </c>
      <c r="L207" s="103">
        <f>Fcast_TA!L126</f>
        <v>8</v>
      </c>
      <c r="M207" s="103">
        <f>Fcast_TA!M126</f>
        <v>9</v>
      </c>
      <c r="N207" s="103">
        <f>Fcast_TA!N126</f>
        <v>10</v>
      </c>
      <c r="O207" s="103">
        <f>Fcast_TA!O126</f>
        <v>11</v>
      </c>
      <c r="P207" s="103">
        <f>Fcast_TA!P126</f>
        <v>12</v>
      </c>
      <c r="Q207" s="103">
        <f>Fcast_TA!Q126</f>
        <v>13</v>
      </c>
    </row>
  </sheetData>
  <mergeCells count="1">
    <mergeCell ref="B3:F3"/>
  </mergeCells>
  <conditionalFormatting sqref="D42">
    <cfRule type="expression" dxfId="55" priority="11" stopIfTrue="1">
      <formula>I42&lt;&gt;0</formula>
    </cfRule>
  </conditionalFormatting>
  <conditionalFormatting sqref="I155:Q155 J55:Q59 J133:Q136 I136 J38:Q42 J72:Q74 J84:Q86">
    <cfRule type="cellIs" dxfId="54" priority="10" stopIfTrue="1" operator="notEqual">
      <formula>0</formula>
    </cfRule>
  </conditionalFormatting>
  <conditionalFormatting sqref="D59">
    <cfRule type="expression" dxfId="53" priority="9" stopIfTrue="1">
      <formula>I59&lt;&gt;0</formula>
    </cfRule>
  </conditionalFormatting>
  <conditionalFormatting sqref="D74">
    <cfRule type="expression" dxfId="52" priority="8" stopIfTrue="1">
      <formula>I74&lt;&gt;0</formula>
    </cfRule>
  </conditionalFormatting>
  <conditionalFormatting sqref="D86">
    <cfRule type="expression" dxfId="51" priority="4" stopIfTrue="1">
      <formula>I86&lt;&gt;0</formula>
    </cfRule>
  </conditionalFormatting>
  <conditionalFormatting sqref="E136 E155">
    <cfRule type="expression" dxfId="50" priority="2" stopIfTrue="1">
      <formula>I136&lt;&gt;0</formula>
    </cfRule>
  </conditionalFormatting>
  <conditionalFormatting sqref="J142:Q142">
    <cfRule type="cellIs" dxfId="49" priority="1" stopIfTrue="1" operator="equal">
      <formula>"Yes"</formula>
    </cfRule>
  </conditionalFormatting>
  <conditionalFormatting sqref="I42">
    <cfRule type="cellIs" dxfId="48" priority="12" stopIfTrue="1" operator="notEqual">
      <formula>0</formula>
    </cfRule>
  </conditionalFormatting>
  <conditionalFormatting sqref="I59">
    <cfRule type="cellIs" dxfId="47" priority="13" stopIfTrue="1" operator="notEqual">
      <formula>0</formula>
    </cfRule>
  </conditionalFormatting>
  <conditionalFormatting sqref="I74">
    <cfRule type="cellIs" dxfId="46" priority="14" stopIfTrue="1" operator="notEqual">
      <formula>0</formula>
    </cfRule>
  </conditionalFormatting>
  <conditionalFormatting sqref="I86">
    <cfRule type="cellIs" dxfId="45" priority="15" stopIfTrue="1" operator="notEqual">
      <formula>0</formula>
    </cfRule>
  </conditionalFormatting>
  <hyperlinks>
    <hyperlink ref="B3" location="HL_Home" tooltip="Go to Table of Contents" display="HL_Home"/>
    <hyperlink ref="A4" location="$B$14" tooltip="Go to Top of Sheet" display="$B$14"/>
    <hyperlink ref="B4" location="HL_Sheet_Main_15" tooltip="Go to Previous Sheet" display="HL_Sheet_Main_15"/>
    <hyperlink ref="C4" location="HL_Sheet_Main_18" tooltip="Go to Next Sheet" display="HL_Sheet_Main_1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rowBreaks count="7" manualBreakCount="7">
    <brk id="24" min="1" max="16" man="1"/>
    <brk id="61" min="1" max="16" man="1"/>
    <brk id="88" min="1" max="16" man="1"/>
    <brk id="116" min="1" max="16" man="1"/>
    <brk id="137" min="1" max="16" man="1"/>
    <brk id="156" min="1" max="16" man="1"/>
    <brk id="182" min="1" max="16" man="1"/>
  </rowBreaks>
  <legacyDrawing r:id="rId2"/>
  <legacyDrawingHF r:id="rId3"/>
</worksheet>
</file>

<file path=xl/worksheets/sheet17.xml><?xml version="1.0" encoding="utf-8"?>
<worksheet xmlns="http://schemas.openxmlformats.org/spreadsheetml/2006/main" xmlns:r="http://schemas.openxmlformats.org/officeDocument/2006/relationships">
  <sheetPr codeName="Sheet16">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518</v>
      </c>
    </row>
    <row r="10" spans="3:7" ht="16.5">
      <c r="C10" s="28" t="s">
        <v>526</v>
      </c>
    </row>
    <row r="11" spans="3:7" ht="15">
      <c r="C11" s="2" t="str">
        <f>Model_Name</f>
        <v>SMA 8. Calculation Formulae - Best Practice Model Example</v>
      </c>
    </row>
    <row r="12" spans="3:7">
      <c r="C12" s="245" t="s">
        <v>49</v>
      </c>
      <c r="D12" s="245"/>
      <c r="E12" s="245"/>
      <c r="F12" s="245"/>
      <c r="G12" s="245"/>
    </row>
    <row r="13" spans="3:7" ht="12.75">
      <c r="C13" s="12" t="s">
        <v>54</v>
      </c>
      <c r="D13" s="13" t="s">
        <v>103</v>
      </c>
    </row>
    <row r="17" spans="3:3">
      <c r="C17" s="26" t="s">
        <v>512</v>
      </c>
    </row>
    <row r="18" spans="3:3">
      <c r="C18" s="188" t="s">
        <v>519</v>
      </c>
    </row>
    <row r="19" spans="3:3">
      <c r="C19" s="188"/>
    </row>
    <row r="20" spans="3:3">
      <c r="C20" s="188"/>
    </row>
  </sheetData>
  <mergeCells count="1">
    <mergeCell ref="C12:G12"/>
  </mergeCells>
  <hyperlinks>
    <hyperlink ref="C12" location="HL_Home" tooltip="Go to Table of Contents" display="HL_Home"/>
    <hyperlink ref="C13" location="HL_Sheet_Main_17" tooltip="Go to Previous Sheet" display="HL_Sheet_Main_17"/>
    <hyperlink ref="D13" location="HL_Sheet_Main_35" tooltip="Go to Next Sheet" display="HL_Sheet_Main_35"/>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8.xml><?xml version="1.0" encoding="utf-8"?>
<worksheet xmlns="http://schemas.openxmlformats.org/spreadsheetml/2006/main" xmlns:r="http://schemas.openxmlformats.org/officeDocument/2006/relationships">
  <sheetPr codeName="Sheet17">
    <pageSetUpPr autoPageBreaks="0"/>
  </sheetPr>
  <dimension ref="A1:Q46"/>
  <sheetViews>
    <sheetView showGridLines="0" zoomScaleNormal="100" workbookViewId="0">
      <pane xSplit="1" ySplit="13" topLeftCell="B14" activePane="bottomRight" state="frozen"/>
      <selection activeCell="Q57" sqref="Q57"/>
      <selection pane="topRight" activeCell="Q57" sqref="Q57"/>
      <selection pane="bottomLeft" activeCell="Q57" sqref="Q57"/>
      <selection pane="bottomRight"/>
    </sheetView>
  </sheetViews>
  <sheetFormatPr defaultRowHeight="10.5" outlineLevelRow="2"/>
  <cols>
    <col min="1" max="5" width="3.83203125" customWidth="1"/>
    <col min="6" max="254" width="11.83203125" customWidth="1"/>
  </cols>
  <sheetData>
    <row r="1" spans="1:17" ht="18">
      <c r="B1" s="1" t="s">
        <v>48</v>
      </c>
    </row>
    <row r="2" spans="1:17" ht="15">
      <c r="B2" s="2" t="str">
        <f>Model_Name</f>
        <v>SMA 8. Calculation Formulae - Best Practice Model Example</v>
      </c>
    </row>
    <row r="3" spans="1:17">
      <c r="B3" s="245" t="s">
        <v>49</v>
      </c>
      <c r="C3" s="245"/>
      <c r="D3" s="245"/>
      <c r="E3" s="245"/>
      <c r="F3" s="245"/>
    </row>
    <row r="4" spans="1:17" ht="12.75">
      <c r="A4" s="11" t="s">
        <v>52</v>
      </c>
      <c r="B4" s="12" t="s">
        <v>54</v>
      </c>
      <c r="C4" s="13" t="s">
        <v>103</v>
      </c>
      <c r="D4" s="238" t="s">
        <v>206</v>
      </c>
      <c r="E4" s="238" t="s">
        <v>207</v>
      </c>
      <c r="F4" s="14" t="s">
        <v>208</v>
      </c>
    </row>
    <row r="6" spans="1:17">
      <c r="B6" s="89" t="str">
        <f>IF(TS_Pers_In_Yr=1,"",TS_Per_Type_Name&amp;" Ending")</f>
        <v/>
      </c>
      <c r="J6" s="90" t="str">
        <f t="shared" ref="J6:Q6" si="0">IF(TS_Pers_In_Yr=1,"",LEFT(INDEX(LU_Mth_Names,MONTH(J9)),3)&amp;"-"&amp;RIGHT(YEAR(J9),2))&amp;" "</f>
        <v xml:space="preserve"> </v>
      </c>
      <c r="K6" s="90" t="str">
        <f t="shared" si="0"/>
        <v xml:space="preserve"> </v>
      </c>
      <c r="L6" s="90" t="str">
        <f t="shared" si="0"/>
        <v xml:space="preserve"> </v>
      </c>
      <c r="M6" s="90" t="str">
        <f t="shared" si="0"/>
        <v xml:space="preserve"> </v>
      </c>
      <c r="N6" s="90" t="str">
        <f t="shared" si="0"/>
        <v xml:space="preserve"> </v>
      </c>
      <c r="O6" s="90" t="str">
        <f t="shared" si="0"/>
        <v xml:space="preserve"> </v>
      </c>
      <c r="P6" s="90" t="str">
        <f t="shared" si="0"/>
        <v xml:space="preserve"> </v>
      </c>
      <c r="Q6" s="90" t="str">
        <f t="shared" si="0"/>
        <v xml:space="preserve"> </v>
      </c>
    </row>
    <row r="7" spans="1:17">
      <c r="B7" s="95" t="str">
        <f>IF(TS_Pers_In_Yr=1,Yr_Name&amp;" Ending "&amp;DAY(TS_Per_1_End_Date)&amp;" "&amp;INDEX(LU_Mth_Names,DD_TS_Fin_YE_Mth),TS_Per_Type_Name)</f>
        <v>Year Ending 31 December</v>
      </c>
      <c r="C7" s="18"/>
      <c r="D7" s="18"/>
      <c r="E7" s="18"/>
      <c r="F7" s="18"/>
      <c r="G7" s="18"/>
      <c r="H7" s="18"/>
      <c r="I7" s="18"/>
      <c r="J7" s="96" t="str">
        <f t="shared" ref="J7:Q7" si="1">IF(TS_Pers_In_Yr=1,J10&amp;" ",J11)&amp;IF(CB_TS_Show_Hist_Fcast_Pers,IF(J12&lt;=TS_Actual_Pers,TS_Actual_Per_Title,
IF(J12&lt;=TS_Actual_Pers+TS_Budget_Pers,TS_Budget_Per_Title,TS_Fcast_Per_Title))&amp;" ","")</f>
        <v xml:space="preserve">2010 (F) </v>
      </c>
      <c r="K7" s="96" t="str">
        <f t="shared" si="1"/>
        <v xml:space="preserve">2011 (F) </v>
      </c>
      <c r="L7" s="96" t="str">
        <f t="shared" si="1"/>
        <v xml:space="preserve">2012 (F) </v>
      </c>
      <c r="M7" s="96" t="str">
        <f t="shared" si="1"/>
        <v xml:space="preserve">2013 (F) </v>
      </c>
      <c r="N7" s="96" t="str">
        <f t="shared" si="1"/>
        <v xml:space="preserve">2014 (F) </v>
      </c>
      <c r="O7" s="96" t="str">
        <f t="shared" si="1"/>
        <v xml:space="preserve">2015 (F) </v>
      </c>
      <c r="P7" s="96" t="str">
        <f t="shared" si="1"/>
        <v xml:space="preserve">2016 (F) </v>
      </c>
      <c r="Q7" s="96" t="str">
        <f t="shared" si="1"/>
        <v xml:space="preserve">2017 (F) </v>
      </c>
    </row>
    <row r="8" spans="1:17" hidden="1" outlineLevel="2">
      <c r="B8" s="27" t="s">
        <v>223</v>
      </c>
      <c r="J8" s="91">
        <f t="shared" ref="J8:Q8" si="2">IF(J12=1,TS_Start_Date,I9+1)</f>
        <v>40179</v>
      </c>
      <c r="K8" s="91">
        <f t="shared" si="2"/>
        <v>40544</v>
      </c>
      <c r="L8" s="91">
        <f t="shared" si="2"/>
        <v>40909</v>
      </c>
      <c r="M8" s="91">
        <f t="shared" si="2"/>
        <v>41275</v>
      </c>
      <c r="N8" s="91">
        <f t="shared" si="2"/>
        <v>41640</v>
      </c>
      <c r="O8" s="91">
        <f t="shared" si="2"/>
        <v>42005</v>
      </c>
      <c r="P8" s="91">
        <f t="shared" si="2"/>
        <v>42370</v>
      </c>
      <c r="Q8" s="91">
        <f t="shared" si="2"/>
        <v>42736</v>
      </c>
    </row>
    <row r="9" spans="1:17" hidden="1" outlineLevel="2">
      <c r="B9" s="27" t="s">
        <v>224</v>
      </c>
      <c r="J9" s="91">
        <f t="shared" ref="J9:Q9" si="3">IF(J12=1,TS_Per_1_End_Date,
IF(TS_Mth_End,EOMONTH(EDATE(TS_Per_1_FY_Start_Date,(TS_Per_1_Number+J12-1)*TS_Mths_In_Per-1),0),
EDATE(TS_Per_1_FY_Start_Date,(TS_Per_1_Number+J12-1)*TS_Mths_In_Per)-1))</f>
        <v>40543</v>
      </c>
      <c r="K9" s="91">
        <f t="shared" si="3"/>
        <v>40908</v>
      </c>
      <c r="L9" s="91">
        <f t="shared" si="3"/>
        <v>41274</v>
      </c>
      <c r="M9" s="91">
        <f t="shared" si="3"/>
        <v>41639</v>
      </c>
      <c r="N9" s="91">
        <f t="shared" si="3"/>
        <v>42004</v>
      </c>
      <c r="O9" s="91">
        <f t="shared" si="3"/>
        <v>42369</v>
      </c>
      <c r="P9" s="91">
        <f t="shared" si="3"/>
        <v>42735</v>
      </c>
      <c r="Q9" s="91">
        <f t="shared" si="3"/>
        <v>43100</v>
      </c>
    </row>
    <row r="10" spans="1:17" hidden="1" outlineLevel="2">
      <c r="B10" s="27" t="s">
        <v>221</v>
      </c>
      <c r="J10" s="92">
        <f t="shared" ref="J10:Q10" si="4">YEAR(TS_Per_1_FY_End_Date)+INT((TS_Per_1_Number+J12-2)/TS_Pers_In_Yr)</f>
        <v>2010</v>
      </c>
      <c r="K10" s="92">
        <f t="shared" si="4"/>
        <v>2011</v>
      </c>
      <c r="L10" s="92">
        <f t="shared" si="4"/>
        <v>2012</v>
      </c>
      <c r="M10" s="92">
        <f t="shared" si="4"/>
        <v>2013</v>
      </c>
      <c r="N10" s="92">
        <f t="shared" si="4"/>
        <v>2014</v>
      </c>
      <c r="O10" s="92">
        <f t="shared" si="4"/>
        <v>2015</v>
      </c>
      <c r="P10" s="92">
        <f t="shared" si="4"/>
        <v>2016</v>
      </c>
      <c r="Q10" s="92">
        <f t="shared" si="4"/>
        <v>2017</v>
      </c>
    </row>
    <row r="11" spans="1:17" hidden="1" outlineLevel="2">
      <c r="B11" s="27" t="s">
        <v>222</v>
      </c>
      <c r="J11" s="93" t="str">
        <f t="shared" ref="J11:Q11" si="5">IF(TS_Pers_In_Yr=1,Yr_Name,TS_Per_Type_Prefix&amp;IF(MOD(TS_Per_1_Number+J12-1,TS_Pers_In_Yr)=0,TS_Pers_In_Yr,MOD(TS_Per_1_Number+J12-1,TS_Pers_In_Yr)))&amp;" "</f>
        <v xml:space="preserve">Year </v>
      </c>
      <c r="K11" s="93" t="str">
        <f t="shared" si="5"/>
        <v xml:space="preserve">Year </v>
      </c>
      <c r="L11" s="93" t="str">
        <f t="shared" si="5"/>
        <v xml:space="preserve">Year </v>
      </c>
      <c r="M11" s="93" t="str">
        <f t="shared" si="5"/>
        <v xml:space="preserve">Year </v>
      </c>
      <c r="N11" s="93" t="str">
        <f t="shared" si="5"/>
        <v xml:space="preserve">Year </v>
      </c>
      <c r="O11" s="93" t="str">
        <f t="shared" si="5"/>
        <v xml:space="preserve">Year </v>
      </c>
      <c r="P11" s="93" t="str">
        <f t="shared" si="5"/>
        <v xml:space="preserve">Year </v>
      </c>
      <c r="Q11" s="93" t="str">
        <f t="shared" si="5"/>
        <v xml:space="preserve">Year </v>
      </c>
    </row>
    <row r="12" spans="1:17" hidden="1" outlineLevel="2">
      <c r="B12" s="27" t="s">
        <v>225</v>
      </c>
      <c r="J12" s="94">
        <f>COLUMN(J12)-COLUMN($J12)+1</f>
        <v>1</v>
      </c>
      <c r="K12" s="94">
        <f t="shared" ref="K12:Q12" si="6">COLUMN(K12)-COLUMN($J12)+1</f>
        <v>2</v>
      </c>
      <c r="L12" s="94">
        <f t="shared" si="6"/>
        <v>3</v>
      </c>
      <c r="M12" s="94">
        <f t="shared" si="6"/>
        <v>4</v>
      </c>
      <c r="N12" s="94">
        <f t="shared" si="6"/>
        <v>5</v>
      </c>
      <c r="O12" s="94">
        <f t="shared" si="6"/>
        <v>6</v>
      </c>
      <c r="P12" s="94">
        <f t="shared" si="6"/>
        <v>7</v>
      </c>
      <c r="Q12" s="94">
        <f t="shared" si="6"/>
        <v>8</v>
      </c>
    </row>
    <row r="13" spans="1:17" hidden="1" outlineLevel="2">
      <c r="B13" s="97" t="s">
        <v>388</v>
      </c>
      <c r="C13" s="18"/>
      <c r="D13" s="18"/>
      <c r="E13" s="18"/>
      <c r="F13" s="18"/>
      <c r="G13" s="18"/>
      <c r="H13" s="18"/>
      <c r="I13" s="18"/>
      <c r="J13" s="98" t="str">
        <f>J10&amp;"-"&amp;J11</f>
        <v xml:space="preserve">2010-Year </v>
      </c>
      <c r="K13" s="98" t="str">
        <f t="shared" ref="K13:Q13" si="7">K10&amp;"-"&amp;K11</f>
        <v xml:space="preserve">2011-Year </v>
      </c>
      <c r="L13" s="98" t="str">
        <f t="shared" si="7"/>
        <v xml:space="preserve">2012-Year </v>
      </c>
      <c r="M13" s="98" t="str">
        <f t="shared" si="7"/>
        <v xml:space="preserve">2013-Year </v>
      </c>
      <c r="N13" s="98" t="str">
        <f t="shared" si="7"/>
        <v xml:space="preserve">2014-Year </v>
      </c>
      <c r="O13" s="98" t="str">
        <f t="shared" si="7"/>
        <v xml:space="preserve">2015-Year </v>
      </c>
      <c r="P13" s="98" t="str">
        <f t="shared" si="7"/>
        <v xml:space="preserve">2016-Year </v>
      </c>
      <c r="Q13" s="98" t="str">
        <f t="shared" si="7"/>
        <v xml:space="preserve">2017-Year </v>
      </c>
    </row>
    <row r="14" spans="1:17" collapsed="1"/>
    <row r="16" spans="1:17" ht="12.75">
      <c r="B16" s="106" t="str">
        <f>"Income Statement - Base Case ("&amp;INDEX(LU_Denom,DD_TS_Denom)&amp;")"</f>
        <v>Income Statement - Base Case ($Millions)</v>
      </c>
    </row>
    <row r="18" spans="3:17">
      <c r="D18" s="5" t="str">
        <f>Fcast_TO!C18</f>
        <v>Revenue</v>
      </c>
      <c r="J18" s="100">
        <f>Fcast_TO!J18</f>
        <v>125</v>
      </c>
      <c r="K18" s="100">
        <f>Fcast_TO!K18</f>
        <v>128.125</v>
      </c>
      <c r="L18" s="100">
        <f>Fcast_TO!L18</f>
        <v>131.328125</v>
      </c>
      <c r="M18" s="100">
        <f>Fcast_TO!M18</f>
        <v>134.611328125</v>
      </c>
      <c r="N18" s="100">
        <f>Fcast_TO!N18</f>
        <v>137.97661132812499</v>
      </c>
      <c r="O18" s="100">
        <f>Fcast_TO!O18</f>
        <v>141.4260266113281</v>
      </c>
      <c r="P18" s="100">
        <f>Fcast_TO!P18</f>
        <v>144.96167727661128</v>
      </c>
      <c r="Q18" s="100">
        <f>Fcast_TO!Q18</f>
        <v>148.58571920852654</v>
      </c>
    </row>
    <row r="19" spans="3:17" s="16" customFormat="1">
      <c r="D19" s="5" t="str">
        <f>Fcast_TO!C19</f>
        <v>Cost of Goods Sold</v>
      </c>
      <c r="J19" s="100">
        <f>-Fcast_TO!J19</f>
        <v>-25</v>
      </c>
      <c r="K19" s="100">
        <f>-Fcast_TO!K19</f>
        <v>-25.624999999999996</v>
      </c>
      <c r="L19" s="100">
        <f>-Fcast_TO!L19</f>
        <v>-26.265624999999993</v>
      </c>
      <c r="M19" s="100">
        <f>-Fcast_TO!M19</f>
        <v>-26.922265624999991</v>
      </c>
      <c r="N19" s="100">
        <f>-Fcast_TO!N19</f>
        <v>-27.59532226562499</v>
      </c>
      <c r="O19" s="100">
        <f>-Fcast_TO!O19</f>
        <v>-28.285205322265611</v>
      </c>
      <c r="P19" s="100">
        <f>-Fcast_TO!P19</f>
        <v>-28.992335455322248</v>
      </c>
      <c r="Q19" s="100">
        <f>-Fcast_TO!Q19</f>
        <v>-29.717143841705301</v>
      </c>
    </row>
    <row r="20" spans="3:17" s="16" customFormat="1">
      <c r="J20" s="100"/>
      <c r="K20" s="100"/>
      <c r="L20" s="100"/>
      <c r="M20" s="100"/>
      <c r="N20" s="100"/>
      <c r="O20" s="100"/>
      <c r="P20" s="100"/>
      <c r="Q20" s="100"/>
    </row>
    <row r="21" spans="3:17" s="16" customFormat="1" ht="11.25">
      <c r="C21" s="99" t="s">
        <v>483</v>
      </c>
      <c r="J21" s="147">
        <f t="shared" ref="J21:Q21" si="8">J18+J19</f>
        <v>100</v>
      </c>
      <c r="K21" s="147">
        <f t="shared" si="8"/>
        <v>102.5</v>
      </c>
      <c r="L21" s="147">
        <f t="shared" si="8"/>
        <v>105.0625</v>
      </c>
      <c r="M21" s="147">
        <f t="shared" si="8"/>
        <v>107.68906250000001</v>
      </c>
      <c r="N21" s="147">
        <f t="shared" si="8"/>
        <v>110.3812890625</v>
      </c>
      <c r="O21" s="147">
        <f t="shared" si="8"/>
        <v>113.14082128906249</v>
      </c>
      <c r="P21" s="147">
        <f t="shared" si="8"/>
        <v>115.96934182128904</v>
      </c>
      <c r="Q21" s="147">
        <f t="shared" si="8"/>
        <v>118.86857536682123</v>
      </c>
    </row>
    <row r="22" spans="3:17">
      <c r="J22" s="100"/>
      <c r="K22" s="100"/>
      <c r="L22" s="100"/>
      <c r="M22" s="100"/>
      <c r="N22" s="100"/>
      <c r="O22" s="100"/>
      <c r="P22" s="100"/>
      <c r="Q22" s="100"/>
    </row>
    <row r="23" spans="3:17">
      <c r="D23" s="5" t="str">
        <f>Fcast_TO!C20</f>
        <v>Operating Expenditure</v>
      </c>
      <c r="J23" s="100">
        <f>-Fcast_TO!J20</f>
        <v>-40</v>
      </c>
      <c r="K23" s="100">
        <f>-Fcast_TO!K20</f>
        <v>-41</v>
      </c>
      <c r="L23" s="100">
        <f>-Fcast_TO!L20</f>
        <v>-42.024999999999999</v>
      </c>
      <c r="M23" s="100">
        <f>-Fcast_TO!M20</f>
        <v>-43.075624999999995</v>
      </c>
      <c r="N23" s="100">
        <f>-Fcast_TO!N20</f>
        <v>-44.152515624999992</v>
      </c>
      <c r="O23" s="100">
        <f>-Fcast_TO!O20</f>
        <v>-45.256328515624986</v>
      </c>
      <c r="P23" s="100">
        <f>-Fcast_TO!P20</f>
        <v>-46.387736728515605</v>
      </c>
      <c r="Q23" s="100">
        <f>-Fcast_TO!Q20</f>
        <v>-47.547430146728495</v>
      </c>
    </row>
    <row r="24" spans="3:17">
      <c r="J24" s="100"/>
      <c r="K24" s="100"/>
      <c r="L24" s="100"/>
      <c r="M24" s="100"/>
      <c r="N24" s="100"/>
      <c r="O24" s="100"/>
      <c r="P24" s="100"/>
      <c r="Q24" s="100"/>
    </row>
    <row r="25" spans="3:17" ht="11.25">
      <c r="C25" s="99" t="s">
        <v>11</v>
      </c>
      <c r="J25" s="147">
        <f>J21+J23</f>
        <v>60</v>
      </c>
      <c r="K25" s="147">
        <f t="shared" ref="K25:Q25" si="9">K21+K23</f>
        <v>61.5</v>
      </c>
      <c r="L25" s="147">
        <f t="shared" si="9"/>
        <v>63.037500000000001</v>
      </c>
      <c r="M25" s="147">
        <f t="shared" si="9"/>
        <v>64.613437500000003</v>
      </c>
      <c r="N25" s="147">
        <f t="shared" si="9"/>
        <v>66.22877343750001</v>
      </c>
      <c r="O25" s="147">
        <f t="shared" si="9"/>
        <v>67.884492773437501</v>
      </c>
      <c r="P25" s="147">
        <f t="shared" si="9"/>
        <v>69.58160509277343</v>
      </c>
      <c r="Q25" s="147">
        <f t="shared" si="9"/>
        <v>71.321145220092745</v>
      </c>
    </row>
    <row r="26" spans="3:17">
      <c r="J26" s="100"/>
      <c r="K26" s="100"/>
      <c r="L26" s="100"/>
      <c r="M26" s="100"/>
      <c r="N26" s="100"/>
      <c r="O26" s="100"/>
      <c r="P26" s="100"/>
      <c r="Q26" s="100"/>
    </row>
    <row r="27" spans="3:17" hidden="1" outlineLevel="2">
      <c r="E27" s="5" t="str">
        <f>Fcast_TO!D69</f>
        <v>Depreciation</v>
      </c>
      <c r="J27" s="100">
        <f>Fcast_TO!J69</f>
        <v>-13.5</v>
      </c>
      <c r="K27" s="100">
        <f>Fcast_TO!K69</f>
        <v>-13.837499999999999</v>
      </c>
      <c r="L27" s="100">
        <f>Fcast_TO!L69</f>
        <v>-14.183437499999997</v>
      </c>
      <c r="M27" s="100">
        <f>Fcast_TO!M69</f>
        <v>-14.538023437499994</v>
      </c>
      <c r="N27" s="100">
        <f>Fcast_TO!N69</f>
        <v>-14.901474023437492</v>
      </c>
      <c r="O27" s="100">
        <f>Fcast_TO!O69</f>
        <v>-15.274010874023428</v>
      </c>
      <c r="P27" s="100">
        <f>Fcast_TO!P69</f>
        <v>-15.655861145874013</v>
      </c>
      <c r="Q27" s="100">
        <f>Fcast_TO!Q69</f>
        <v>-16.047257674520861</v>
      </c>
    </row>
    <row r="28" spans="3:17" s="16" customFormat="1" hidden="1" outlineLevel="2">
      <c r="E28" s="5" t="str">
        <f>Fcast_TO!D81</f>
        <v>Amortization</v>
      </c>
      <c r="J28" s="129">
        <f>Fcast_TO!J81</f>
        <v>-0.625</v>
      </c>
      <c r="K28" s="129">
        <f>Fcast_TO!K81</f>
        <v>-0.640625</v>
      </c>
      <c r="L28" s="129">
        <f>Fcast_TO!L81</f>
        <v>-0.65664062499999998</v>
      </c>
      <c r="M28" s="129">
        <f>Fcast_TO!M81</f>
        <v>-0.67305664062499992</v>
      </c>
      <c r="N28" s="129">
        <f>Fcast_TO!N81</f>
        <v>-0.68988305664062488</v>
      </c>
      <c r="O28" s="129">
        <f>Fcast_TO!O81</f>
        <v>-0.70713013305664041</v>
      </c>
      <c r="P28" s="129">
        <f>Fcast_TO!P81</f>
        <v>-0.72480838638305634</v>
      </c>
      <c r="Q28" s="129">
        <f>Fcast_TO!Q81</f>
        <v>-0.74292859604263273</v>
      </c>
    </row>
    <row r="29" spans="3:17" collapsed="1">
      <c r="D29" s="175" t="s">
        <v>484</v>
      </c>
      <c r="J29" s="100">
        <f>SUM(J27:J28)</f>
        <v>-14.125</v>
      </c>
      <c r="K29" s="100">
        <f t="shared" ref="K29:Q29" si="10">SUM(K27:K28)</f>
        <v>-14.478124999999999</v>
      </c>
      <c r="L29" s="100">
        <f t="shared" si="10"/>
        <v>-14.840078124999996</v>
      </c>
      <c r="M29" s="100">
        <f t="shared" si="10"/>
        <v>-15.211080078124994</v>
      </c>
      <c r="N29" s="100">
        <f t="shared" si="10"/>
        <v>-15.591357080078117</v>
      </c>
      <c r="O29" s="100">
        <f t="shared" si="10"/>
        <v>-15.981141007080069</v>
      </c>
      <c r="P29" s="100">
        <f t="shared" si="10"/>
        <v>-16.38066953225707</v>
      </c>
      <c r="Q29" s="100">
        <f t="shared" si="10"/>
        <v>-16.790186270563492</v>
      </c>
    </row>
    <row r="30" spans="3:17">
      <c r="J30" s="100"/>
      <c r="K30" s="100"/>
      <c r="L30" s="100"/>
      <c r="M30" s="100"/>
      <c r="N30" s="100"/>
      <c r="O30" s="100"/>
      <c r="P30" s="100"/>
      <c r="Q30" s="100"/>
    </row>
    <row r="31" spans="3:17" ht="11.25">
      <c r="C31" s="99" t="s">
        <v>12</v>
      </c>
      <c r="J31" s="147">
        <f t="shared" ref="J31:Q31" si="11">J25+J29</f>
        <v>45.875</v>
      </c>
      <c r="K31" s="147">
        <f t="shared" si="11"/>
        <v>47.021875000000001</v>
      </c>
      <c r="L31" s="147">
        <f t="shared" si="11"/>
        <v>48.197421875000003</v>
      </c>
      <c r="M31" s="147">
        <f t="shared" si="11"/>
        <v>49.40235742187501</v>
      </c>
      <c r="N31" s="147">
        <f t="shared" si="11"/>
        <v>50.637416357421891</v>
      </c>
      <c r="O31" s="147">
        <f t="shared" si="11"/>
        <v>51.903351766357432</v>
      </c>
      <c r="P31" s="147">
        <f t="shared" si="11"/>
        <v>53.200935560516356</v>
      </c>
      <c r="Q31" s="147">
        <f t="shared" si="11"/>
        <v>54.53095894952925</v>
      </c>
    </row>
    <row r="32" spans="3:17">
      <c r="J32" s="100"/>
      <c r="K32" s="100"/>
      <c r="L32" s="100"/>
      <c r="M32" s="100"/>
      <c r="N32" s="100"/>
      <c r="O32" s="100"/>
      <c r="P32" s="100"/>
      <c r="Q32" s="100"/>
    </row>
    <row r="33" spans="3:17">
      <c r="D33" s="5" t="str">
        <f>Fcast_TO!E110</f>
        <v>Interest Expense</v>
      </c>
      <c r="J33" s="100">
        <f>-Fcast_TO!J110</f>
        <v>-3.25</v>
      </c>
      <c r="K33" s="100">
        <f>-Fcast_TO!K110</f>
        <v>-3.25</v>
      </c>
      <c r="L33" s="100">
        <f>-Fcast_TO!L110</f>
        <v>-3.25</v>
      </c>
      <c r="M33" s="100">
        <f>-Fcast_TO!M110</f>
        <v>-3.25</v>
      </c>
      <c r="N33" s="100">
        <f>-Fcast_TO!N110</f>
        <v>-3.4125000000000001</v>
      </c>
      <c r="O33" s="100">
        <f>-Fcast_TO!O110</f>
        <v>-3.5750000000000002</v>
      </c>
      <c r="P33" s="100">
        <f>-Fcast_TO!P110</f>
        <v>-3.5750000000000002</v>
      </c>
      <c r="Q33" s="100">
        <f>-Fcast_TO!Q110</f>
        <v>-3.5750000000000002</v>
      </c>
    </row>
    <row r="34" spans="3:17">
      <c r="J34" s="100"/>
      <c r="K34" s="100"/>
      <c r="L34" s="100"/>
      <c r="M34" s="100"/>
      <c r="N34" s="100"/>
      <c r="O34" s="100"/>
      <c r="P34" s="100"/>
      <c r="Q34" s="100"/>
    </row>
    <row r="35" spans="3:17" ht="11.25">
      <c r="C35" s="99" t="s">
        <v>13</v>
      </c>
      <c r="J35" s="147">
        <f t="shared" ref="J35:Q35" si="12">J31+J33</f>
        <v>42.625</v>
      </c>
      <c r="K35" s="147">
        <f t="shared" si="12"/>
        <v>43.771875000000001</v>
      </c>
      <c r="L35" s="147">
        <f t="shared" si="12"/>
        <v>44.947421875000003</v>
      </c>
      <c r="M35" s="147">
        <f t="shared" si="12"/>
        <v>46.15235742187501</v>
      </c>
      <c r="N35" s="147">
        <f t="shared" si="12"/>
        <v>47.22491635742189</v>
      </c>
      <c r="O35" s="147">
        <f t="shared" si="12"/>
        <v>48.328351766357429</v>
      </c>
      <c r="P35" s="147">
        <f t="shared" si="12"/>
        <v>49.625935560516353</v>
      </c>
      <c r="Q35" s="147">
        <f t="shared" si="12"/>
        <v>50.955958949529247</v>
      </c>
    </row>
    <row r="36" spans="3:17">
      <c r="J36" s="100"/>
      <c r="K36" s="100"/>
      <c r="L36" s="100"/>
      <c r="M36" s="100"/>
      <c r="N36" s="100"/>
      <c r="O36" s="100"/>
      <c r="P36" s="100"/>
      <c r="Q36" s="100"/>
    </row>
    <row r="37" spans="3:17">
      <c r="D37" s="5" t="str">
        <f>Fcast_TO!D173</f>
        <v>Tax Expense / (Benefit)</v>
      </c>
      <c r="J37" s="100">
        <f>-Fcast_TO!J173</f>
        <v>-12.7875</v>
      </c>
      <c r="K37" s="100">
        <f>-Fcast_TO!K173</f>
        <v>-13.131562499999999</v>
      </c>
      <c r="L37" s="100">
        <f>-Fcast_TO!L173</f>
        <v>-13.4842265625</v>
      </c>
      <c r="M37" s="100">
        <f>-Fcast_TO!M173</f>
        <v>-13.845707226562503</v>
      </c>
      <c r="N37" s="100">
        <f>-Fcast_TO!N173</f>
        <v>-14.167474907226566</v>
      </c>
      <c r="O37" s="100">
        <f>-Fcast_TO!O173</f>
        <v>-14.498505529907227</v>
      </c>
      <c r="P37" s="100">
        <f>-Fcast_TO!P173</f>
        <v>-14.887780668154907</v>
      </c>
      <c r="Q37" s="100">
        <f>-Fcast_TO!Q173</f>
        <v>-15.286787684858773</v>
      </c>
    </row>
    <row r="38" spans="3:17">
      <c r="J38" s="100"/>
      <c r="K38" s="100"/>
      <c r="L38" s="100"/>
      <c r="M38" s="100"/>
      <c r="N38" s="100"/>
      <c r="O38" s="100"/>
      <c r="P38" s="100"/>
      <c r="Q38" s="100"/>
    </row>
    <row r="39" spans="3:17" ht="12.75" thickBot="1">
      <c r="C39" s="17" t="s">
        <v>14</v>
      </c>
      <c r="J39" s="146">
        <f t="shared" ref="J39:Q39" si="13">J35+J37</f>
        <v>29.837499999999999</v>
      </c>
      <c r="K39" s="146">
        <f t="shared" si="13"/>
        <v>30.6403125</v>
      </c>
      <c r="L39" s="146">
        <f t="shared" si="13"/>
        <v>31.463195312500005</v>
      </c>
      <c r="M39" s="146">
        <f t="shared" si="13"/>
        <v>32.306650195312507</v>
      </c>
      <c r="N39" s="146">
        <f t="shared" si="13"/>
        <v>33.057441450195327</v>
      </c>
      <c r="O39" s="146">
        <f t="shared" si="13"/>
        <v>33.829846236450202</v>
      </c>
      <c r="P39" s="146">
        <f t="shared" si="13"/>
        <v>34.73815489236145</v>
      </c>
      <c r="Q39" s="146">
        <f t="shared" si="13"/>
        <v>35.669171264670474</v>
      </c>
    </row>
    <row r="40" spans="3:17" ht="11.25" thickTop="1"/>
    <row r="41" spans="3:17" ht="11.25">
      <c r="C41" s="15" t="s">
        <v>414</v>
      </c>
      <c r="I41" s="104">
        <f>IF(ISERROR(SUM(J41:Q41)),0,MIN(SUM(J41:Q41),1))</f>
        <v>0</v>
      </c>
      <c r="J41" s="101">
        <f t="shared" ref="J41:Q41" si="14">IF(ISERROR(J39),1,0)</f>
        <v>0</v>
      </c>
      <c r="K41" s="101">
        <f t="shared" si="14"/>
        <v>0</v>
      </c>
      <c r="L41" s="101">
        <f t="shared" si="14"/>
        <v>0</v>
      </c>
      <c r="M41" s="101">
        <f t="shared" si="14"/>
        <v>0</v>
      </c>
      <c r="N41" s="101">
        <f t="shared" si="14"/>
        <v>0</v>
      </c>
      <c r="O41" s="101">
        <f t="shared" si="14"/>
        <v>0</v>
      </c>
      <c r="P41" s="101">
        <f t="shared" si="14"/>
        <v>0</v>
      </c>
      <c r="Q41" s="101">
        <f t="shared" si="14"/>
        <v>0</v>
      </c>
    </row>
    <row r="43" spans="3:17">
      <c r="C43" s="168" t="s">
        <v>204</v>
      </c>
      <c r="D43" s="16"/>
    </row>
    <row r="44" spans="3:17" s="16" customFormat="1">
      <c r="C44" s="145">
        <v>1</v>
      </c>
      <c r="D44" s="114" t="s">
        <v>15</v>
      </c>
    </row>
    <row r="46" spans="3:17">
      <c r="C46" s="113" t="str">
        <f>"Go to "&amp;BS_TO!$B$1</f>
        <v>Go to Balance Sheet</v>
      </c>
      <c r="D46" s="9"/>
      <c r="E46" s="9"/>
      <c r="F46" s="9"/>
      <c r="G46" s="9"/>
      <c r="H46" s="9"/>
      <c r="I46" s="9"/>
    </row>
  </sheetData>
  <mergeCells count="1">
    <mergeCell ref="B3:F3"/>
  </mergeCells>
  <conditionalFormatting sqref="C41">
    <cfRule type="expression" dxfId="44" priority="2" stopIfTrue="1">
      <formula>I41&lt;&gt;0</formula>
    </cfRule>
  </conditionalFormatting>
  <conditionalFormatting sqref="I41:Q41">
    <cfRule type="cellIs" dxfId="43" priority="1" stopIfTrue="1" operator="notEqual">
      <formula>0</formula>
    </cfRule>
  </conditionalFormatting>
  <hyperlinks>
    <hyperlink ref="C46:I46" location="HL_Sheet_Main_36" tooltip="Go to Balance Sheet" display="HL_Sheet_Main_36"/>
    <hyperlink ref="B3" location="HL_Home" tooltip="Go to Table of Contents" display="HL_Home"/>
    <hyperlink ref="A4" location="$B$14" tooltip="Go to Top of Sheet" display="$B$14"/>
    <hyperlink ref="B4" location="HL_Sheet_Main_18" tooltip="Go to Previous Sheet" display="HL_Sheet_Main_18"/>
    <hyperlink ref="C4" location="HL_Sheet_Main_36" tooltip="Go to Next Sheet" display="HL_Sheet_Main_3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 r:id="rId2"/>
  <legacyDrawingHF r:id="rId3"/>
</worksheet>
</file>

<file path=xl/worksheets/sheet19.xml><?xml version="1.0" encoding="utf-8"?>
<worksheet xmlns="http://schemas.openxmlformats.org/spreadsheetml/2006/main" xmlns:r="http://schemas.openxmlformats.org/officeDocument/2006/relationships">
  <sheetPr codeName="Sheet18">
    <pageSetUpPr autoPageBreaks="0"/>
  </sheetPr>
  <dimension ref="A1:Q76"/>
  <sheetViews>
    <sheetView showGridLines="0" zoomScaleNormal="100" workbookViewId="0">
      <pane xSplit="1" ySplit="13" topLeftCell="B14" activePane="bottomRight" state="frozen"/>
      <selection activeCell="Q57" sqref="Q57"/>
      <selection pane="topRight" activeCell="Q57" sqref="Q57"/>
      <selection pane="bottomLeft" activeCell="Q57" sqref="Q57"/>
      <selection pane="bottomRight"/>
    </sheetView>
  </sheetViews>
  <sheetFormatPr defaultRowHeight="10.5" outlineLevelRow="2"/>
  <cols>
    <col min="1" max="5" width="3.83203125" customWidth="1"/>
    <col min="6" max="254" width="11.83203125" customWidth="1"/>
  </cols>
  <sheetData>
    <row r="1" spans="1:17" ht="18">
      <c r="B1" s="1" t="s">
        <v>0</v>
      </c>
    </row>
    <row r="2" spans="1:17" ht="15">
      <c r="B2" s="2" t="str">
        <f>Model_Name</f>
        <v>SMA 8. Calculation Formulae - Best Practice Model Example</v>
      </c>
    </row>
    <row r="3" spans="1:17">
      <c r="B3" s="245" t="s">
        <v>49</v>
      </c>
      <c r="C3" s="245"/>
      <c r="D3" s="245"/>
      <c r="E3" s="245"/>
      <c r="F3" s="245"/>
    </row>
    <row r="4" spans="1:17" ht="12.75">
      <c r="A4" s="11" t="s">
        <v>52</v>
      </c>
      <c r="B4" s="12" t="s">
        <v>54</v>
      </c>
      <c r="C4" s="13" t="s">
        <v>103</v>
      </c>
      <c r="D4" s="238" t="s">
        <v>206</v>
      </c>
      <c r="E4" s="238" t="s">
        <v>207</v>
      </c>
      <c r="F4" s="14" t="s">
        <v>208</v>
      </c>
    </row>
    <row r="6" spans="1:17">
      <c r="B6" s="89" t="str">
        <f>IF(TS_Pers_In_Yr=1,"",TS_Per_Type_Name&amp;" Ending")</f>
        <v/>
      </c>
      <c r="J6" s="90" t="str">
        <f t="shared" ref="J6:Q6" si="0">IF(TS_Pers_In_Yr=1,"",LEFT(INDEX(LU_Mth_Names,MONTH(J9)),3)&amp;"-"&amp;RIGHT(YEAR(J9),2))&amp;" "</f>
        <v xml:space="preserve"> </v>
      </c>
      <c r="K6" s="90" t="str">
        <f t="shared" si="0"/>
        <v xml:space="preserve"> </v>
      </c>
      <c r="L6" s="90" t="str">
        <f t="shared" si="0"/>
        <v xml:space="preserve"> </v>
      </c>
      <c r="M6" s="90" t="str">
        <f t="shared" si="0"/>
        <v xml:space="preserve"> </v>
      </c>
      <c r="N6" s="90" t="str">
        <f t="shared" si="0"/>
        <v xml:space="preserve"> </v>
      </c>
      <c r="O6" s="90" t="str">
        <f t="shared" si="0"/>
        <v xml:space="preserve"> </v>
      </c>
      <c r="P6" s="90" t="str">
        <f t="shared" si="0"/>
        <v xml:space="preserve"> </v>
      </c>
      <c r="Q6" s="90" t="str">
        <f t="shared" si="0"/>
        <v xml:space="preserve"> </v>
      </c>
    </row>
    <row r="7" spans="1:17">
      <c r="B7" s="95" t="str">
        <f>IF(TS_Pers_In_Yr=1,Yr_Name&amp;" Ending "&amp;DAY(TS_Per_1_End_Date)&amp;" "&amp;INDEX(LU_Mth_Names,DD_TS_Fin_YE_Mth),TS_Per_Type_Name)</f>
        <v>Year Ending 31 December</v>
      </c>
      <c r="C7" s="18"/>
      <c r="D7" s="18"/>
      <c r="E7" s="18"/>
      <c r="F7" s="18"/>
      <c r="G7" s="18"/>
      <c r="H7" s="18"/>
      <c r="I7" s="18"/>
      <c r="J7" s="96" t="str">
        <f t="shared" ref="J7:Q7" si="1">IF(TS_Pers_In_Yr=1,J10&amp;" ",J11)&amp;IF(CB_TS_Show_Hist_Fcast_Pers,IF(J12&lt;=TS_Actual_Pers,TS_Actual_Per_Title,
IF(J12&lt;=TS_Actual_Pers+TS_Budget_Pers,TS_Budget_Per_Title,TS_Fcast_Per_Title))&amp;" ","")</f>
        <v xml:space="preserve">2010 (F) </v>
      </c>
      <c r="K7" s="96" t="str">
        <f t="shared" si="1"/>
        <v xml:space="preserve">2011 (F) </v>
      </c>
      <c r="L7" s="96" t="str">
        <f t="shared" si="1"/>
        <v xml:space="preserve">2012 (F) </v>
      </c>
      <c r="M7" s="96" t="str">
        <f t="shared" si="1"/>
        <v xml:space="preserve">2013 (F) </v>
      </c>
      <c r="N7" s="96" t="str">
        <f t="shared" si="1"/>
        <v xml:space="preserve">2014 (F) </v>
      </c>
      <c r="O7" s="96" t="str">
        <f t="shared" si="1"/>
        <v xml:space="preserve">2015 (F) </v>
      </c>
      <c r="P7" s="96" t="str">
        <f t="shared" si="1"/>
        <v xml:space="preserve">2016 (F) </v>
      </c>
      <c r="Q7" s="96" t="str">
        <f t="shared" si="1"/>
        <v xml:space="preserve">2017 (F) </v>
      </c>
    </row>
    <row r="8" spans="1:17" hidden="1" outlineLevel="2">
      <c r="B8" s="27" t="s">
        <v>223</v>
      </c>
      <c r="J8" s="91">
        <f t="shared" ref="J8:Q8" si="2">IF(J12=1,TS_Start_Date,I9+1)</f>
        <v>40179</v>
      </c>
      <c r="K8" s="91">
        <f t="shared" si="2"/>
        <v>40544</v>
      </c>
      <c r="L8" s="91">
        <f t="shared" si="2"/>
        <v>40909</v>
      </c>
      <c r="M8" s="91">
        <f t="shared" si="2"/>
        <v>41275</v>
      </c>
      <c r="N8" s="91">
        <f t="shared" si="2"/>
        <v>41640</v>
      </c>
      <c r="O8" s="91">
        <f t="shared" si="2"/>
        <v>42005</v>
      </c>
      <c r="P8" s="91">
        <f t="shared" si="2"/>
        <v>42370</v>
      </c>
      <c r="Q8" s="91">
        <f t="shared" si="2"/>
        <v>42736</v>
      </c>
    </row>
    <row r="9" spans="1:17" hidden="1" outlineLevel="2">
      <c r="B9" s="27" t="s">
        <v>224</v>
      </c>
      <c r="J9" s="91">
        <f t="shared" ref="J9:Q9" si="3">IF(J12=1,TS_Per_1_End_Date,
IF(TS_Mth_End,EOMONTH(EDATE(TS_Per_1_FY_Start_Date,(TS_Per_1_Number+J12-1)*TS_Mths_In_Per-1),0),
EDATE(TS_Per_1_FY_Start_Date,(TS_Per_1_Number+J12-1)*TS_Mths_In_Per)-1))</f>
        <v>40543</v>
      </c>
      <c r="K9" s="91">
        <f t="shared" si="3"/>
        <v>40908</v>
      </c>
      <c r="L9" s="91">
        <f t="shared" si="3"/>
        <v>41274</v>
      </c>
      <c r="M9" s="91">
        <f t="shared" si="3"/>
        <v>41639</v>
      </c>
      <c r="N9" s="91">
        <f t="shared" si="3"/>
        <v>42004</v>
      </c>
      <c r="O9" s="91">
        <f t="shared" si="3"/>
        <v>42369</v>
      </c>
      <c r="P9" s="91">
        <f t="shared" si="3"/>
        <v>42735</v>
      </c>
      <c r="Q9" s="91">
        <f t="shared" si="3"/>
        <v>43100</v>
      </c>
    </row>
    <row r="10" spans="1:17" hidden="1" outlineLevel="2">
      <c r="B10" s="27" t="s">
        <v>221</v>
      </c>
      <c r="J10" s="92">
        <f t="shared" ref="J10:Q10" si="4">YEAR(TS_Per_1_FY_End_Date)+INT((TS_Per_1_Number+J12-2)/TS_Pers_In_Yr)</f>
        <v>2010</v>
      </c>
      <c r="K10" s="92">
        <f t="shared" si="4"/>
        <v>2011</v>
      </c>
      <c r="L10" s="92">
        <f t="shared" si="4"/>
        <v>2012</v>
      </c>
      <c r="M10" s="92">
        <f t="shared" si="4"/>
        <v>2013</v>
      </c>
      <c r="N10" s="92">
        <f t="shared" si="4"/>
        <v>2014</v>
      </c>
      <c r="O10" s="92">
        <f t="shared" si="4"/>
        <v>2015</v>
      </c>
      <c r="P10" s="92">
        <f t="shared" si="4"/>
        <v>2016</v>
      </c>
      <c r="Q10" s="92">
        <f t="shared" si="4"/>
        <v>2017</v>
      </c>
    </row>
    <row r="11" spans="1:17" hidden="1" outlineLevel="2">
      <c r="B11" s="27" t="s">
        <v>222</v>
      </c>
      <c r="J11" s="93" t="str">
        <f t="shared" ref="J11:Q11" si="5">IF(TS_Pers_In_Yr=1,Yr_Name,TS_Per_Type_Prefix&amp;IF(MOD(TS_Per_1_Number+J12-1,TS_Pers_In_Yr)=0,TS_Pers_In_Yr,MOD(TS_Per_1_Number+J12-1,TS_Pers_In_Yr)))&amp;" "</f>
        <v xml:space="preserve">Year </v>
      </c>
      <c r="K11" s="93" t="str">
        <f t="shared" si="5"/>
        <v xml:space="preserve">Year </v>
      </c>
      <c r="L11" s="93" t="str">
        <f t="shared" si="5"/>
        <v xml:space="preserve">Year </v>
      </c>
      <c r="M11" s="93" t="str">
        <f t="shared" si="5"/>
        <v xml:space="preserve">Year </v>
      </c>
      <c r="N11" s="93" t="str">
        <f t="shared" si="5"/>
        <v xml:space="preserve">Year </v>
      </c>
      <c r="O11" s="93" t="str">
        <f t="shared" si="5"/>
        <v xml:space="preserve">Year </v>
      </c>
      <c r="P11" s="93" t="str">
        <f t="shared" si="5"/>
        <v xml:space="preserve">Year </v>
      </c>
      <c r="Q11" s="93" t="str">
        <f t="shared" si="5"/>
        <v xml:space="preserve">Year </v>
      </c>
    </row>
    <row r="12" spans="1:17" hidden="1" outlineLevel="2">
      <c r="B12" s="27" t="s">
        <v>225</v>
      </c>
      <c r="J12" s="94">
        <f>COLUMN(J12)-COLUMN($J12)+1</f>
        <v>1</v>
      </c>
      <c r="K12" s="94">
        <f t="shared" ref="K12:Q12" si="6">COLUMN(K12)-COLUMN($J12)+1</f>
        <v>2</v>
      </c>
      <c r="L12" s="94">
        <f t="shared" si="6"/>
        <v>3</v>
      </c>
      <c r="M12" s="94">
        <f t="shared" si="6"/>
        <v>4</v>
      </c>
      <c r="N12" s="94">
        <f t="shared" si="6"/>
        <v>5</v>
      </c>
      <c r="O12" s="94">
        <f t="shared" si="6"/>
        <v>6</v>
      </c>
      <c r="P12" s="94">
        <f t="shared" si="6"/>
        <v>7</v>
      </c>
      <c r="Q12" s="94">
        <f t="shared" si="6"/>
        <v>8</v>
      </c>
    </row>
    <row r="13" spans="1:17" hidden="1" outlineLevel="2">
      <c r="B13" s="97" t="s">
        <v>388</v>
      </c>
      <c r="C13" s="18"/>
      <c r="D13" s="18"/>
      <c r="E13" s="18"/>
      <c r="F13" s="18"/>
      <c r="G13" s="18"/>
      <c r="H13" s="18"/>
      <c r="I13" s="18"/>
      <c r="J13" s="98" t="str">
        <f>J10&amp;"-"&amp;J11</f>
        <v xml:space="preserve">2010-Year </v>
      </c>
      <c r="K13" s="98" t="str">
        <f t="shared" ref="K13:Q13" si="7">K10&amp;"-"&amp;K11</f>
        <v xml:space="preserve">2011-Year </v>
      </c>
      <c r="L13" s="98" t="str">
        <f t="shared" si="7"/>
        <v xml:space="preserve">2012-Year </v>
      </c>
      <c r="M13" s="98" t="str">
        <f t="shared" si="7"/>
        <v xml:space="preserve">2013-Year </v>
      </c>
      <c r="N13" s="98" t="str">
        <f t="shared" si="7"/>
        <v xml:space="preserve">2014-Year </v>
      </c>
      <c r="O13" s="98" t="str">
        <f t="shared" si="7"/>
        <v xml:space="preserve">2015-Year </v>
      </c>
      <c r="P13" s="98" t="str">
        <f t="shared" si="7"/>
        <v xml:space="preserve">2016-Year </v>
      </c>
      <c r="Q13" s="98" t="str">
        <f t="shared" si="7"/>
        <v xml:space="preserve">2017-Year </v>
      </c>
    </row>
    <row r="14" spans="1:17" collapsed="1"/>
    <row r="16" spans="1:17" ht="12.75">
      <c r="B16" s="106" t="str">
        <f>"Balance Sheet - Base Case ("&amp;INDEX(LU_Denom,DD_TS_Denom)&amp;")"</f>
        <v>Balance Sheet - Base Case ($Millions)</v>
      </c>
    </row>
    <row r="18" spans="3:17" ht="11.25">
      <c r="C18" s="99" t="s">
        <v>31</v>
      </c>
    </row>
    <row r="20" spans="3:17" hidden="1" outlineLevel="2">
      <c r="E20" s="114" t="s">
        <v>42</v>
      </c>
      <c r="J20" s="100">
        <f>IF(J$12=1,Fcast_TA!$J$119,I22)</f>
        <v>15</v>
      </c>
      <c r="K20" s="100">
        <f>IF(K$12=1,Fcast_TA!$J$119,J22)</f>
        <v>38.570976027397265</v>
      </c>
      <c r="L20" s="100">
        <f>IF(L$12=1,Fcast_TA!$J$119,K22)</f>
        <v>50.719312928082175</v>
      </c>
      <c r="M20" s="100">
        <f>IF(M$12=1,Fcast_TA!$J$119,L22)</f>
        <v>63.206284003586049</v>
      </c>
      <c r="N20" s="100">
        <f>IF(N$12=1,Fcast_TA!$J$119,M22)</f>
        <v>76.020728145066357</v>
      </c>
      <c r="O20" s="100">
        <f>IF(O$12=1,Fcast_TA!$J$119,N22)</f>
        <v>94.084996348693011</v>
      </c>
      <c r="P20" s="100">
        <f>IF(P$12=1,Fcast_TA!$J$119,O22)</f>
        <v>107.45007438241035</v>
      </c>
      <c r="Q20" s="100">
        <f>IF(Q$12=1,Fcast_TA!$J$119,P22)</f>
        <v>121.237691183499</v>
      </c>
    </row>
    <row r="21" spans="3:17" hidden="1" outlineLevel="2">
      <c r="E21" s="114" t="s">
        <v>43</v>
      </c>
      <c r="J21" s="129">
        <f>CFS_TO!J50</f>
        <v>23.570976027397268</v>
      </c>
      <c r="K21" s="129">
        <f>CFS_TO!K50</f>
        <v>12.148336900684914</v>
      </c>
      <c r="L21" s="129">
        <f>CFS_TO!L50</f>
        <v>12.486971075503874</v>
      </c>
      <c r="M21" s="129">
        <f>CFS_TO!M50</f>
        <v>12.814444141480315</v>
      </c>
      <c r="N21" s="129">
        <f>CFS_TO!N50</f>
        <v>18.064268203626661</v>
      </c>
      <c r="O21" s="129">
        <f>CFS_TO!O50</f>
        <v>13.365078033717339</v>
      </c>
      <c r="P21" s="129">
        <f>CFS_TO!P50</f>
        <v>13.787616801088642</v>
      </c>
      <c r="Q21" s="129">
        <f>CFS_TO!Q50</f>
        <v>14.149085792645895</v>
      </c>
    </row>
    <row r="22" spans="3:17" collapsed="1">
      <c r="D22" s="175" t="s">
        <v>500</v>
      </c>
      <c r="J22" s="100">
        <f t="shared" ref="J22:Q22" si="8">SUM(J20:J21)</f>
        <v>38.570976027397265</v>
      </c>
      <c r="K22" s="100">
        <f t="shared" si="8"/>
        <v>50.719312928082175</v>
      </c>
      <c r="L22" s="100">
        <f t="shared" si="8"/>
        <v>63.206284003586049</v>
      </c>
      <c r="M22" s="100">
        <f t="shared" si="8"/>
        <v>76.020728145066357</v>
      </c>
      <c r="N22" s="100">
        <f t="shared" si="8"/>
        <v>94.084996348693011</v>
      </c>
      <c r="O22" s="100">
        <f t="shared" si="8"/>
        <v>107.45007438241035</v>
      </c>
      <c r="P22" s="100">
        <f t="shared" si="8"/>
        <v>121.237691183499</v>
      </c>
      <c r="Q22" s="100">
        <f t="shared" si="8"/>
        <v>135.38677697614489</v>
      </c>
    </row>
    <row r="23" spans="3:17">
      <c r="D23" s="175" t="s">
        <v>300</v>
      </c>
      <c r="J23" s="100">
        <f>Fcast_TO!J33</f>
        <v>10.273972602739725</v>
      </c>
      <c r="K23" s="100">
        <f>Fcast_TO!K33</f>
        <v>10.530821917808218</v>
      </c>
      <c r="L23" s="100">
        <f>Fcast_TO!L33</f>
        <v>10.764600409836065</v>
      </c>
      <c r="M23" s="100">
        <f>Fcast_TO!M33</f>
        <v>11.063944777397261</v>
      </c>
      <c r="N23" s="100">
        <f>Fcast_TO!N33</f>
        <v>11.340543396832192</v>
      </c>
      <c r="O23" s="100">
        <f>Fcast_TO!O33</f>
        <v>11.624056981752995</v>
      </c>
      <c r="P23" s="100">
        <f>Fcast_TO!P33</f>
        <v>11.882104694804204</v>
      </c>
      <c r="Q23" s="100">
        <f>Fcast_TO!Q33</f>
        <v>12.212524866454237</v>
      </c>
    </row>
    <row r="24" spans="3:17" s="16" customFormat="1">
      <c r="D24" s="5" t="str">
        <f>Fcast_TA!D123</f>
        <v>Other Current Assets</v>
      </c>
      <c r="J24" s="100">
        <f>Fcast_TO!J189</f>
        <v>3</v>
      </c>
      <c r="K24" s="100">
        <f>Fcast_TO!K189</f>
        <v>4</v>
      </c>
      <c r="L24" s="100">
        <f>Fcast_TO!L189</f>
        <v>5</v>
      </c>
      <c r="M24" s="100">
        <f>Fcast_TO!M189</f>
        <v>6</v>
      </c>
      <c r="N24" s="100">
        <f>Fcast_TO!N189</f>
        <v>7</v>
      </c>
      <c r="O24" s="100">
        <f>Fcast_TO!O189</f>
        <v>8</v>
      </c>
      <c r="P24" s="100">
        <f>Fcast_TO!P189</f>
        <v>9</v>
      </c>
      <c r="Q24" s="100">
        <f>Fcast_TO!Q189</f>
        <v>10</v>
      </c>
    </row>
    <row r="25" spans="3:17">
      <c r="D25" s="143" t="str">
        <f>"Total "&amp;C18</f>
        <v>Total Current Assets</v>
      </c>
      <c r="J25" s="134">
        <f>J22+SUM(J23:J24)</f>
        <v>51.84494863013699</v>
      </c>
      <c r="K25" s="134">
        <f t="shared" ref="K25:Q25" si="9">K22+SUM(K23:K24)</f>
        <v>65.250134845890386</v>
      </c>
      <c r="L25" s="134">
        <f t="shared" si="9"/>
        <v>78.970884413422112</v>
      </c>
      <c r="M25" s="134">
        <f t="shared" si="9"/>
        <v>93.084672922463625</v>
      </c>
      <c r="N25" s="134">
        <f t="shared" si="9"/>
        <v>112.4255397455252</v>
      </c>
      <c r="O25" s="134">
        <f t="shared" si="9"/>
        <v>127.07413136416335</v>
      </c>
      <c r="P25" s="134">
        <f t="shared" si="9"/>
        <v>142.11979587830319</v>
      </c>
      <c r="Q25" s="134">
        <f t="shared" si="9"/>
        <v>157.59930184259912</v>
      </c>
    </row>
    <row r="26" spans="3:17">
      <c r="J26" s="100"/>
      <c r="K26" s="100"/>
      <c r="L26" s="100"/>
      <c r="M26" s="100"/>
      <c r="N26" s="100"/>
      <c r="O26" s="100"/>
      <c r="P26" s="100"/>
      <c r="Q26" s="100"/>
    </row>
    <row r="27" spans="3:17" ht="11.25">
      <c r="C27" s="99" t="s">
        <v>32</v>
      </c>
      <c r="J27" s="100"/>
      <c r="K27" s="100"/>
      <c r="L27" s="100"/>
      <c r="M27" s="100"/>
      <c r="N27" s="100"/>
      <c r="O27" s="100"/>
      <c r="P27" s="100"/>
      <c r="Q27" s="100"/>
    </row>
    <row r="28" spans="3:17">
      <c r="J28" s="100"/>
      <c r="K28" s="100"/>
      <c r="L28" s="100"/>
      <c r="M28" s="100"/>
      <c r="N28" s="100"/>
      <c r="O28" s="100"/>
      <c r="P28" s="100"/>
      <c r="Q28" s="100"/>
    </row>
    <row r="29" spans="3:17">
      <c r="D29" s="175" t="s">
        <v>461</v>
      </c>
      <c r="J29" s="100">
        <f>Fcast_TO!J70</f>
        <v>146.5</v>
      </c>
      <c r="K29" s="100">
        <f>Fcast_TO!K70</f>
        <v>148.03749999999999</v>
      </c>
      <c r="L29" s="100">
        <f>Fcast_TO!L70</f>
        <v>149.6134375</v>
      </c>
      <c r="M29" s="100">
        <f>Fcast_TO!M70</f>
        <v>151.22877343750002</v>
      </c>
      <c r="N29" s="100">
        <f>Fcast_TO!N70</f>
        <v>152.88449277343753</v>
      </c>
      <c r="O29" s="100">
        <f>Fcast_TO!O70</f>
        <v>154.58160509277349</v>
      </c>
      <c r="P29" s="100">
        <f>Fcast_TO!P70</f>
        <v>156.32114522009283</v>
      </c>
      <c r="Q29" s="100">
        <f>Fcast_TO!Q70</f>
        <v>158.10417385059515</v>
      </c>
    </row>
    <row r="30" spans="3:17" s="16" customFormat="1">
      <c r="D30" s="175" t="s">
        <v>485</v>
      </c>
      <c r="J30" s="100">
        <f>Fcast_TO!J82</f>
        <v>13.375</v>
      </c>
      <c r="K30" s="100">
        <f>Fcast_TO!K82</f>
        <v>15.296875</v>
      </c>
      <c r="L30" s="100">
        <f>Fcast_TO!L82</f>
        <v>17.266796874999997</v>
      </c>
      <c r="M30" s="100">
        <f>Fcast_TO!M82</f>
        <v>19.285966796874998</v>
      </c>
      <c r="N30" s="100">
        <f>Fcast_TO!N82</f>
        <v>21.355615966796872</v>
      </c>
      <c r="O30" s="100">
        <f>Fcast_TO!O82</f>
        <v>23.477006365966794</v>
      </c>
      <c r="P30" s="100">
        <f>Fcast_TO!P82</f>
        <v>25.651431525115964</v>
      </c>
      <c r="Q30" s="100">
        <f>Fcast_TO!Q82</f>
        <v>27.880217313243865</v>
      </c>
    </row>
    <row r="31" spans="3:17">
      <c r="D31" s="114" t="s">
        <v>4</v>
      </c>
      <c r="J31" s="187">
        <v>0</v>
      </c>
      <c r="K31" s="187">
        <v>0</v>
      </c>
      <c r="L31" s="187">
        <v>0</v>
      </c>
      <c r="M31" s="187">
        <v>0</v>
      </c>
      <c r="N31" s="187">
        <v>0</v>
      </c>
      <c r="O31" s="187">
        <v>0</v>
      </c>
      <c r="P31" s="187">
        <v>0</v>
      </c>
      <c r="Q31" s="187">
        <v>0</v>
      </c>
    </row>
    <row r="32" spans="3:17" s="16" customFormat="1">
      <c r="D32" s="5" t="str">
        <f>Fcast_TA!D125</f>
        <v>Other Non-Current Assets</v>
      </c>
      <c r="J32" s="100">
        <f>Fcast_TO!J201</f>
        <v>5</v>
      </c>
      <c r="K32" s="100">
        <f>Fcast_TO!K201</f>
        <v>6</v>
      </c>
      <c r="L32" s="100">
        <f>Fcast_TO!L201</f>
        <v>7</v>
      </c>
      <c r="M32" s="100">
        <f>Fcast_TO!M201</f>
        <v>8</v>
      </c>
      <c r="N32" s="100">
        <f>Fcast_TO!N201</f>
        <v>9</v>
      </c>
      <c r="O32" s="100">
        <f>Fcast_TO!O201</f>
        <v>10</v>
      </c>
      <c r="P32" s="100">
        <f>Fcast_TO!P201</f>
        <v>11</v>
      </c>
      <c r="Q32" s="100">
        <f>Fcast_TO!Q201</f>
        <v>12</v>
      </c>
    </row>
    <row r="33" spans="3:17">
      <c r="D33" s="143" t="str">
        <f>"Total "&amp;C27</f>
        <v>Total Non-Current Assets</v>
      </c>
      <c r="J33" s="134">
        <f>SUM(J29:J32)</f>
        <v>164.875</v>
      </c>
      <c r="K33" s="134">
        <f t="shared" ref="K33:Q33" si="10">SUM(K29:K32)</f>
        <v>169.33437499999999</v>
      </c>
      <c r="L33" s="134">
        <f t="shared" si="10"/>
        <v>173.88023437499999</v>
      </c>
      <c r="M33" s="134">
        <f t="shared" si="10"/>
        <v>178.51474023437501</v>
      </c>
      <c r="N33" s="134">
        <f t="shared" si="10"/>
        <v>183.2401087402344</v>
      </c>
      <c r="O33" s="134">
        <f t="shared" si="10"/>
        <v>188.05861145874027</v>
      </c>
      <c r="P33" s="134">
        <f t="shared" si="10"/>
        <v>192.97257674520878</v>
      </c>
      <c r="Q33" s="134">
        <f t="shared" si="10"/>
        <v>197.98439116383901</v>
      </c>
    </row>
    <row r="34" spans="3:17">
      <c r="J34" s="100"/>
      <c r="K34" s="100"/>
      <c r="L34" s="100"/>
      <c r="M34" s="100"/>
      <c r="N34" s="100"/>
      <c r="O34" s="100"/>
      <c r="P34" s="100"/>
      <c r="Q34" s="100"/>
    </row>
    <row r="35" spans="3:17" ht="11.25">
      <c r="C35" s="99" t="s">
        <v>33</v>
      </c>
      <c r="J35" s="147">
        <f t="shared" ref="J35:Q35" si="11">J25+J33</f>
        <v>216.719948630137</v>
      </c>
      <c r="K35" s="147">
        <f t="shared" si="11"/>
        <v>234.58450984589038</v>
      </c>
      <c r="L35" s="147">
        <f t="shared" si="11"/>
        <v>252.8511187884221</v>
      </c>
      <c r="M35" s="147">
        <f t="shared" si="11"/>
        <v>271.59941315683864</v>
      </c>
      <c r="N35" s="147">
        <f t="shared" si="11"/>
        <v>295.66564848575962</v>
      </c>
      <c r="O35" s="147">
        <f t="shared" si="11"/>
        <v>315.13274282290365</v>
      </c>
      <c r="P35" s="147">
        <f t="shared" si="11"/>
        <v>335.09237262351201</v>
      </c>
      <c r="Q35" s="147">
        <f t="shared" si="11"/>
        <v>355.58369300643812</v>
      </c>
    </row>
    <row r="36" spans="3:17">
      <c r="J36" s="100"/>
      <c r="K36" s="100"/>
      <c r="L36" s="100"/>
      <c r="M36" s="100"/>
      <c r="N36" s="100"/>
      <c r="O36" s="100"/>
      <c r="P36" s="100"/>
      <c r="Q36" s="100"/>
    </row>
    <row r="37" spans="3:17" ht="11.25">
      <c r="C37" s="99" t="s">
        <v>34</v>
      </c>
      <c r="J37" s="100"/>
      <c r="K37" s="100"/>
      <c r="L37" s="100"/>
      <c r="M37" s="100"/>
      <c r="N37" s="100"/>
      <c r="O37" s="100"/>
      <c r="P37" s="100"/>
      <c r="Q37" s="100"/>
    </row>
    <row r="38" spans="3:17">
      <c r="J38" s="100"/>
      <c r="K38" s="100"/>
      <c r="L38" s="100"/>
      <c r="M38" s="100"/>
      <c r="N38" s="100"/>
      <c r="O38" s="100"/>
      <c r="P38" s="100"/>
      <c r="Q38" s="100"/>
    </row>
    <row r="39" spans="3:17">
      <c r="D39" s="178" t="s">
        <v>301</v>
      </c>
      <c r="J39" s="100">
        <f>Fcast_TO!J50</f>
        <v>8.0136986301369859</v>
      </c>
      <c r="K39" s="100">
        <f>Fcast_TO!K50</f>
        <v>8.2140410958904102</v>
      </c>
      <c r="L39" s="100">
        <f>Fcast_TO!L50</f>
        <v>8.3963883196721305</v>
      </c>
      <c r="M39" s="100">
        <f>Fcast_TO!M50</f>
        <v>8.629876926369862</v>
      </c>
      <c r="N39" s="100">
        <f>Fcast_TO!N50</f>
        <v>8.8456238495291082</v>
      </c>
      <c r="O39" s="100">
        <f>Fcast_TO!O50</f>
        <v>9.0667644457673351</v>
      </c>
      <c r="P39" s="100">
        <f>Fcast_TO!P50</f>
        <v>9.2680416619472759</v>
      </c>
      <c r="Q39" s="100">
        <f>Fcast_TO!Q50</f>
        <v>9.5257693958343044</v>
      </c>
    </row>
    <row r="40" spans="3:17">
      <c r="D40" s="178" t="s">
        <v>9</v>
      </c>
      <c r="J40" s="100">
        <f>Fcast_TO!J180</f>
        <v>12.787500000000001</v>
      </c>
      <c r="K40" s="100">
        <f>Fcast_TO!K180</f>
        <v>13.131562500000003</v>
      </c>
      <c r="L40" s="100">
        <f>Fcast_TO!L180</f>
        <v>13.484226562500004</v>
      </c>
      <c r="M40" s="100">
        <f>Fcast_TO!M180</f>
        <v>13.845707226562508</v>
      </c>
      <c r="N40" s="100">
        <f>Fcast_TO!N180</f>
        <v>14.16747490722657</v>
      </c>
      <c r="O40" s="100">
        <f>Fcast_TO!O180</f>
        <v>14.498505529907231</v>
      </c>
      <c r="P40" s="100">
        <f>Fcast_TO!P180</f>
        <v>14.88778066815491</v>
      </c>
      <c r="Q40" s="100">
        <f>Fcast_TO!Q180</f>
        <v>15.286787684858776</v>
      </c>
    </row>
    <row r="41" spans="3:17">
      <c r="D41" s="178" t="s">
        <v>490</v>
      </c>
      <c r="J41" s="100">
        <f>Fcast_TO!J115</f>
        <v>0</v>
      </c>
      <c r="K41" s="100">
        <f>Fcast_TO!K115</f>
        <v>0</v>
      </c>
      <c r="L41" s="100">
        <f>Fcast_TO!L115</f>
        <v>0</v>
      </c>
      <c r="M41" s="100">
        <f>Fcast_TO!M115</f>
        <v>0</v>
      </c>
      <c r="N41" s="100">
        <f>Fcast_TO!N115</f>
        <v>0</v>
      </c>
      <c r="O41" s="100">
        <f>Fcast_TO!O115</f>
        <v>0</v>
      </c>
      <c r="P41" s="100">
        <f>Fcast_TO!P115</f>
        <v>0</v>
      </c>
      <c r="Q41" s="100">
        <f>Fcast_TO!Q115</f>
        <v>0</v>
      </c>
    </row>
    <row r="42" spans="3:17">
      <c r="D42" s="178" t="s">
        <v>35</v>
      </c>
      <c r="J42" s="100">
        <f>Fcast_TO!J131</f>
        <v>0</v>
      </c>
      <c r="K42" s="100">
        <f>Fcast_TO!K131</f>
        <v>0</v>
      </c>
      <c r="L42" s="100">
        <f>Fcast_TO!L131</f>
        <v>0</v>
      </c>
      <c r="M42" s="100">
        <f>Fcast_TO!M131</f>
        <v>0</v>
      </c>
      <c r="N42" s="100">
        <f>Fcast_TO!N131</f>
        <v>0</v>
      </c>
      <c r="O42" s="100">
        <f>Fcast_TO!O131</f>
        <v>0</v>
      </c>
      <c r="P42" s="100">
        <f>Fcast_TO!P131</f>
        <v>0</v>
      </c>
      <c r="Q42" s="100">
        <f>Fcast_TO!Q131</f>
        <v>0</v>
      </c>
    </row>
    <row r="43" spans="3:17" s="16" customFormat="1">
      <c r="D43" s="5" t="str">
        <f>Fcast_TA!D124</f>
        <v>Other Current Liabilities</v>
      </c>
      <c r="J43" s="100">
        <f>Fcast_TO!J195</f>
        <v>4</v>
      </c>
      <c r="K43" s="100">
        <f>Fcast_TO!K195</f>
        <v>5</v>
      </c>
      <c r="L43" s="100">
        <f>Fcast_TO!L195</f>
        <v>6</v>
      </c>
      <c r="M43" s="100">
        <f>Fcast_TO!M195</f>
        <v>7</v>
      </c>
      <c r="N43" s="100">
        <f>Fcast_TO!N195</f>
        <v>8</v>
      </c>
      <c r="O43" s="100">
        <f>Fcast_TO!O195</f>
        <v>9</v>
      </c>
      <c r="P43" s="100">
        <f>Fcast_TO!P195</f>
        <v>10</v>
      </c>
      <c r="Q43" s="100">
        <f>Fcast_TO!Q195</f>
        <v>11</v>
      </c>
    </row>
    <row r="44" spans="3:17">
      <c r="D44" s="143" t="str">
        <f>"Total "&amp;C37</f>
        <v>Total Current Liabilities</v>
      </c>
      <c r="J44" s="134">
        <f>SUM(J39:J43)</f>
        <v>24.801198630136987</v>
      </c>
      <c r="K44" s="134">
        <f t="shared" ref="K44:Q44" si="12">SUM(K39:K43)</f>
        <v>26.345603595890413</v>
      </c>
      <c r="L44" s="134">
        <f t="shared" si="12"/>
        <v>27.880614882172132</v>
      </c>
      <c r="M44" s="134">
        <f t="shared" si="12"/>
        <v>29.47558415293237</v>
      </c>
      <c r="N44" s="134">
        <f t="shared" si="12"/>
        <v>31.013098756755678</v>
      </c>
      <c r="O44" s="134">
        <f t="shared" si="12"/>
        <v>32.565269975674568</v>
      </c>
      <c r="P44" s="134">
        <f t="shared" si="12"/>
        <v>34.155822330102183</v>
      </c>
      <c r="Q44" s="134">
        <f t="shared" si="12"/>
        <v>35.812557080693082</v>
      </c>
    </row>
    <row r="45" spans="3:17">
      <c r="J45" s="100"/>
      <c r="K45" s="100"/>
      <c r="L45" s="100"/>
      <c r="M45" s="100"/>
      <c r="N45" s="100"/>
      <c r="O45" s="100"/>
      <c r="P45" s="100"/>
      <c r="Q45" s="100"/>
    </row>
    <row r="46" spans="3:17" ht="11.25">
      <c r="C46" s="99" t="s">
        <v>36</v>
      </c>
      <c r="J46" s="100"/>
      <c r="K46" s="100"/>
      <c r="L46" s="100"/>
      <c r="M46" s="100"/>
      <c r="N46" s="100"/>
      <c r="O46" s="100"/>
      <c r="P46" s="100"/>
      <c r="Q46" s="100"/>
    </row>
    <row r="47" spans="3:17">
      <c r="J47" s="100"/>
      <c r="K47" s="100"/>
      <c r="L47" s="100"/>
      <c r="M47" s="100"/>
      <c r="N47" s="100"/>
      <c r="O47" s="100"/>
      <c r="P47" s="100"/>
      <c r="Q47" s="100"/>
    </row>
    <row r="48" spans="3:17">
      <c r="D48" s="175" t="s">
        <v>257</v>
      </c>
      <c r="J48" s="100">
        <f>Fcast_TO!J98</f>
        <v>50</v>
      </c>
      <c r="K48" s="100">
        <f>Fcast_TO!K98</f>
        <v>50</v>
      </c>
      <c r="L48" s="100">
        <f>Fcast_TO!L98</f>
        <v>50</v>
      </c>
      <c r="M48" s="100">
        <f>Fcast_TO!M98</f>
        <v>50</v>
      </c>
      <c r="N48" s="100">
        <f>Fcast_TO!N98</f>
        <v>55</v>
      </c>
      <c r="O48" s="100">
        <f>Fcast_TO!O98</f>
        <v>55</v>
      </c>
      <c r="P48" s="100">
        <f>Fcast_TO!P98</f>
        <v>55</v>
      </c>
      <c r="Q48" s="100">
        <f>Fcast_TO!Q98</f>
        <v>55</v>
      </c>
    </row>
    <row r="49" spans="2:17">
      <c r="D49" s="114" t="s">
        <v>5</v>
      </c>
      <c r="J49" s="187">
        <v>0</v>
      </c>
      <c r="K49" s="187">
        <v>0</v>
      </c>
      <c r="L49" s="187">
        <v>0</v>
      </c>
      <c r="M49" s="187">
        <v>0</v>
      </c>
      <c r="N49" s="187">
        <v>0</v>
      </c>
      <c r="O49" s="187">
        <v>0</v>
      </c>
      <c r="P49" s="187">
        <v>0</v>
      </c>
      <c r="Q49" s="187">
        <v>0</v>
      </c>
    </row>
    <row r="50" spans="2:17" s="16" customFormat="1">
      <c r="D50" s="5" t="str">
        <f>Fcast_TA!D126</f>
        <v>Other Non-Current Liabilities</v>
      </c>
      <c r="J50" s="100">
        <f>Fcast_TO!J207</f>
        <v>6</v>
      </c>
      <c r="K50" s="100">
        <f>Fcast_TO!K207</f>
        <v>7</v>
      </c>
      <c r="L50" s="100">
        <f>Fcast_TO!L207</f>
        <v>8</v>
      </c>
      <c r="M50" s="100">
        <f>Fcast_TO!M207</f>
        <v>9</v>
      </c>
      <c r="N50" s="100">
        <f>Fcast_TO!N207</f>
        <v>10</v>
      </c>
      <c r="O50" s="100">
        <f>Fcast_TO!O207</f>
        <v>11</v>
      </c>
      <c r="P50" s="100">
        <f>Fcast_TO!P207</f>
        <v>12</v>
      </c>
      <c r="Q50" s="100">
        <f>Fcast_TO!Q207</f>
        <v>13</v>
      </c>
    </row>
    <row r="51" spans="2:17">
      <c r="D51" s="143" t="str">
        <f>"Total "&amp;C46</f>
        <v>Total Non-Current Liabilities</v>
      </c>
      <c r="J51" s="134">
        <f>SUM(J48:J50)</f>
        <v>56</v>
      </c>
      <c r="K51" s="134">
        <f t="shared" ref="K51:Q51" si="13">SUM(K48:K50)</f>
        <v>57</v>
      </c>
      <c r="L51" s="134">
        <f t="shared" si="13"/>
        <v>58</v>
      </c>
      <c r="M51" s="134">
        <f t="shared" si="13"/>
        <v>59</v>
      </c>
      <c r="N51" s="134">
        <f t="shared" si="13"/>
        <v>65</v>
      </c>
      <c r="O51" s="134">
        <f t="shared" si="13"/>
        <v>66</v>
      </c>
      <c r="P51" s="134">
        <f t="shared" si="13"/>
        <v>67</v>
      </c>
      <c r="Q51" s="134">
        <f t="shared" si="13"/>
        <v>68</v>
      </c>
    </row>
    <row r="52" spans="2:17">
      <c r="J52" s="100"/>
      <c r="K52" s="100"/>
      <c r="L52" s="100"/>
      <c r="M52" s="100"/>
      <c r="N52" s="100"/>
      <c r="O52" s="100"/>
      <c r="P52" s="100"/>
      <c r="Q52" s="100"/>
    </row>
    <row r="53" spans="2:17" ht="11.25">
      <c r="C53" s="99" t="s">
        <v>37</v>
      </c>
      <c r="J53" s="147">
        <f t="shared" ref="J53:Q53" si="14">J44+J51</f>
        <v>80.80119863013698</v>
      </c>
      <c r="K53" s="147">
        <f t="shared" si="14"/>
        <v>83.34560359589041</v>
      </c>
      <c r="L53" s="147">
        <f t="shared" si="14"/>
        <v>85.880614882172125</v>
      </c>
      <c r="M53" s="147">
        <f t="shared" si="14"/>
        <v>88.47558415293237</v>
      </c>
      <c r="N53" s="147">
        <f t="shared" si="14"/>
        <v>96.013098756755682</v>
      </c>
      <c r="O53" s="147">
        <f t="shared" si="14"/>
        <v>98.565269975674568</v>
      </c>
      <c r="P53" s="147">
        <f t="shared" si="14"/>
        <v>101.15582233010218</v>
      </c>
      <c r="Q53" s="147">
        <f t="shared" si="14"/>
        <v>103.81255708069308</v>
      </c>
    </row>
    <row r="54" spans="2:17">
      <c r="J54" s="100"/>
      <c r="K54" s="100"/>
      <c r="L54" s="100"/>
      <c r="M54" s="100"/>
      <c r="N54" s="100"/>
      <c r="O54" s="100"/>
      <c r="P54" s="100"/>
      <c r="Q54" s="100"/>
    </row>
    <row r="55" spans="2:17" ht="12" thickBot="1">
      <c r="C55" s="99" t="s">
        <v>38</v>
      </c>
      <c r="J55" s="146">
        <f t="shared" ref="J55:Q55" si="15">J35-J53</f>
        <v>135.91875000000002</v>
      </c>
      <c r="K55" s="146">
        <f t="shared" si="15"/>
        <v>151.23890624999996</v>
      </c>
      <c r="L55" s="146">
        <f t="shared" si="15"/>
        <v>166.97050390624997</v>
      </c>
      <c r="M55" s="146">
        <f t="shared" si="15"/>
        <v>183.12382900390628</v>
      </c>
      <c r="N55" s="146">
        <f t="shared" si="15"/>
        <v>199.65254972900394</v>
      </c>
      <c r="O55" s="146">
        <f t="shared" si="15"/>
        <v>216.56747284722908</v>
      </c>
      <c r="P55" s="146">
        <f t="shared" si="15"/>
        <v>233.93655029340982</v>
      </c>
      <c r="Q55" s="146">
        <f t="shared" si="15"/>
        <v>251.77113592574506</v>
      </c>
    </row>
    <row r="56" spans="2:17" ht="11.25" thickTop="1">
      <c r="B56" s="16"/>
      <c r="C56" s="16"/>
      <c r="D56" s="16"/>
      <c r="J56" s="100"/>
      <c r="K56" s="100"/>
      <c r="L56" s="100"/>
      <c r="M56" s="100"/>
      <c r="N56" s="100"/>
      <c r="O56" s="100"/>
      <c r="P56" s="100"/>
      <c r="Q56" s="100"/>
    </row>
    <row r="57" spans="2:17" ht="11.25">
      <c r="C57" s="99" t="s">
        <v>39</v>
      </c>
      <c r="J57" s="100"/>
      <c r="K57" s="100"/>
      <c r="L57" s="100"/>
      <c r="M57" s="100"/>
      <c r="N57" s="100"/>
      <c r="O57" s="100"/>
      <c r="P57" s="100"/>
      <c r="Q57" s="100"/>
    </row>
    <row r="58" spans="2:17">
      <c r="J58" s="100"/>
      <c r="K58" s="100"/>
      <c r="L58" s="100"/>
      <c r="M58" s="100"/>
      <c r="N58" s="100"/>
      <c r="O58" s="100"/>
      <c r="P58" s="100"/>
      <c r="Q58" s="100"/>
    </row>
    <row r="59" spans="2:17">
      <c r="D59" s="114" t="s">
        <v>275</v>
      </c>
      <c r="J59" s="100">
        <f>Fcast_TO!J124</f>
        <v>75</v>
      </c>
      <c r="K59" s="100">
        <f>Fcast_TO!K124</f>
        <v>75</v>
      </c>
      <c r="L59" s="100">
        <f>Fcast_TO!L124</f>
        <v>75</v>
      </c>
      <c r="M59" s="100">
        <f>Fcast_TO!M124</f>
        <v>75</v>
      </c>
      <c r="N59" s="100">
        <f>Fcast_TO!N124</f>
        <v>75</v>
      </c>
      <c r="O59" s="100">
        <f>Fcast_TO!O124</f>
        <v>75</v>
      </c>
      <c r="P59" s="100">
        <f>Fcast_TO!P124</f>
        <v>75</v>
      </c>
      <c r="Q59" s="100">
        <f>Fcast_TO!Q124</f>
        <v>75</v>
      </c>
    </row>
    <row r="60" spans="2:17" hidden="1" outlineLevel="2">
      <c r="J60" s="100"/>
      <c r="K60" s="100"/>
      <c r="L60" s="100"/>
      <c r="M60" s="100"/>
      <c r="N60" s="100"/>
      <c r="O60" s="100"/>
      <c r="P60" s="100"/>
      <c r="Q60" s="100"/>
    </row>
    <row r="61" spans="2:17" hidden="1" outlineLevel="2">
      <c r="E61" s="114" t="s">
        <v>281</v>
      </c>
      <c r="J61" s="150">
        <f>IF(J$12=1,0,I65)</f>
        <v>0</v>
      </c>
      <c r="K61" s="150">
        <f t="shared" ref="K61:Q61" si="16">IF(K$12=1,0,J65)</f>
        <v>60.918750000000003</v>
      </c>
      <c r="L61" s="150">
        <f t="shared" si="16"/>
        <v>76.238906250000014</v>
      </c>
      <c r="M61" s="150">
        <f t="shared" si="16"/>
        <v>91.970503906250016</v>
      </c>
      <c r="N61" s="150">
        <f t="shared" si="16"/>
        <v>108.12382900390628</v>
      </c>
      <c r="O61" s="150">
        <f t="shared" si="16"/>
        <v>124.65254972900394</v>
      </c>
      <c r="P61" s="150">
        <f t="shared" si="16"/>
        <v>141.56747284722906</v>
      </c>
      <c r="Q61" s="150">
        <f t="shared" si="16"/>
        <v>158.93655029340977</v>
      </c>
    </row>
    <row r="62" spans="2:17" s="16" customFormat="1" hidden="1" outlineLevel="2">
      <c r="E62" s="175" t="s">
        <v>503</v>
      </c>
      <c r="J62" s="150">
        <f>IF(J$12=1,J55-J59-J61-J63-J64,0)</f>
        <v>46.000000000000014</v>
      </c>
      <c r="K62" s="150">
        <f t="shared" ref="K62:Q62" si="17">IF(K$12=1,K55-K59-K61-K63-K64,0)</f>
        <v>0</v>
      </c>
      <c r="L62" s="150">
        <f t="shared" si="17"/>
        <v>0</v>
      </c>
      <c r="M62" s="150">
        <f t="shared" si="17"/>
        <v>0</v>
      </c>
      <c r="N62" s="150">
        <f t="shared" si="17"/>
        <v>0</v>
      </c>
      <c r="O62" s="150">
        <f t="shared" si="17"/>
        <v>0</v>
      </c>
      <c r="P62" s="150">
        <f t="shared" si="17"/>
        <v>0</v>
      </c>
      <c r="Q62" s="150">
        <f t="shared" si="17"/>
        <v>0</v>
      </c>
    </row>
    <row r="63" spans="2:17" hidden="1" outlineLevel="2">
      <c r="E63" s="114" t="s">
        <v>44</v>
      </c>
      <c r="J63" s="150">
        <f>IS_TO!J39</f>
        <v>29.837499999999999</v>
      </c>
      <c r="K63" s="150">
        <f>IS_TO!K39</f>
        <v>30.6403125</v>
      </c>
      <c r="L63" s="150">
        <f>IS_TO!L39</f>
        <v>31.463195312500005</v>
      </c>
      <c r="M63" s="150">
        <f>IS_TO!M39</f>
        <v>32.306650195312507</v>
      </c>
      <c r="N63" s="150">
        <f>IS_TO!N39</f>
        <v>33.057441450195327</v>
      </c>
      <c r="O63" s="150">
        <f>IS_TO!O39</f>
        <v>33.829846236450202</v>
      </c>
      <c r="P63" s="150">
        <f>IS_TO!P39</f>
        <v>34.73815489236145</v>
      </c>
      <c r="Q63" s="150">
        <f>IS_TO!Q39</f>
        <v>35.669171264670474</v>
      </c>
    </row>
    <row r="64" spans="2:17" hidden="1" outlineLevel="2">
      <c r="E64" s="114" t="s">
        <v>45</v>
      </c>
      <c r="J64" s="186">
        <f>-Fcast_TO!J129</f>
        <v>-14.918749999999999</v>
      </c>
      <c r="K64" s="186">
        <f>-Fcast_TO!K129</f>
        <v>-15.32015625</v>
      </c>
      <c r="L64" s="186">
        <f>-Fcast_TO!L129</f>
        <v>-15.731597656250003</v>
      </c>
      <c r="M64" s="186">
        <f>-Fcast_TO!M129</f>
        <v>-16.153325097656253</v>
      </c>
      <c r="N64" s="186">
        <f>-Fcast_TO!N129</f>
        <v>-16.528720725097664</v>
      </c>
      <c r="O64" s="186">
        <f>-Fcast_TO!O129</f>
        <v>-16.914923118225101</v>
      </c>
      <c r="P64" s="186">
        <f>-Fcast_TO!P129</f>
        <v>-17.369077446180725</v>
      </c>
      <c r="Q64" s="186">
        <f>-Fcast_TO!Q129</f>
        <v>-17.834585632335237</v>
      </c>
    </row>
    <row r="65" spans="3:17" collapsed="1">
      <c r="D65" s="175" t="s">
        <v>40</v>
      </c>
      <c r="J65" s="150">
        <f>SUM(J61:J64)</f>
        <v>60.918750000000003</v>
      </c>
      <c r="K65" s="150">
        <f t="shared" ref="K65:Q65" si="18">SUM(K61:K64)</f>
        <v>76.238906250000014</v>
      </c>
      <c r="L65" s="150">
        <f t="shared" si="18"/>
        <v>91.970503906250016</v>
      </c>
      <c r="M65" s="150">
        <f t="shared" si="18"/>
        <v>108.12382900390628</v>
      </c>
      <c r="N65" s="150">
        <f t="shared" si="18"/>
        <v>124.65254972900394</v>
      </c>
      <c r="O65" s="150">
        <f t="shared" si="18"/>
        <v>141.56747284722906</v>
      </c>
      <c r="P65" s="150">
        <f t="shared" si="18"/>
        <v>158.93655029340977</v>
      </c>
      <c r="Q65" s="150">
        <f t="shared" si="18"/>
        <v>176.771135925745</v>
      </c>
    </row>
    <row r="66" spans="3:17">
      <c r="J66" s="100"/>
      <c r="K66" s="100"/>
      <c r="L66" s="100"/>
      <c r="M66" s="100"/>
      <c r="N66" s="100"/>
      <c r="O66" s="100"/>
      <c r="P66" s="100"/>
      <c r="Q66" s="100"/>
    </row>
    <row r="67" spans="3:17" ht="11.25">
      <c r="C67" s="132" t="str">
        <f>"Total "&amp;C57</f>
        <v>Total Equity</v>
      </c>
      <c r="J67" s="147">
        <f t="shared" ref="J67:Q67" si="19">J59+J65</f>
        <v>135.91874999999999</v>
      </c>
      <c r="K67" s="147">
        <f t="shared" si="19"/>
        <v>151.23890625000001</v>
      </c>
      <c r="L67" s="147">
        <f t="shared" si="19"/>
        <v>166.97050390625003</v>
      </c>
      <c r="M67" s="147">
        <f t="shared" si="19"/>
        <v>183.12382900390628</v>
      </c>
      <c r="N67" s="147">
        <f t="shared" si="19"/>
        <v>199.65254972900394</v>
      </c>
      <c r="O67" s="147">
        <f t="shared" si="19"/>
        <v>216.56747284722906</v>
      </c>
      <c r="P67" s="147">
        <f t="shared" si="19"/>
        <v>233.93655029340977</v>
      </c>
      <c r="Q67" s="147">
        <f t="shared" si="19"/>
        <v>251.771135925745</v>
      </c>
    </row>
    <row r="68" spans="3:17">
      <c r="J68" s="185"/>
      <c r="K68" s="185"/>
      <c r="L68" s="185"/>
      <c r="M68" s="185"/>
      <c r="N68" s="185"/>
      <c r="O68" s="185"/>
      <c r="P68" s="185"/>
      <c r="Q68" s="185"/>
    </row>
    <row r="69" spans="3:17" hidden="1" outlineLevel="2">
      <c r="D69" s="175" t="s">
        <v>501</v>
      </c>
      <c r="J69" s="148">
        <f t="shared" ref="J69:Q69" si="20">IF(ISERROR(J55-J67),1,0)</f>
        <v>0</v>
      </c>
      <c r="K69" s="148">
        <f t="shared" si="20"/>
        <v>0</v>
      </c>
      <c r="L69" s="148">
        <f t="shared" si="20"/>
        <v>0</v>
      </c>
      <c r="M69" s="148">
        <f t="shared" si="20"/>
        <v>0</v>
      </c>
      <c r="N69" s="148">
        <f t="shared" si="20"/>
        <v>0</v>
      </c>
      <c r="O69" s="148">
        <f t="shared" si="20"/>
        <v>0</v>
      </c>
      <c r="P69" s="148">
        <f t="shared" si="20"/>
        <v>0</v>
      </c>
      <c r="Q69" s="148">
        <f t="shared" si="20"/>
        <v>0</v>
      </c>
    </row>
    <row r="70" spans="3:17" hidden="1" outlineLevel="2">
      <c r="D70" s="175" t="s">
        <v>422</v>
      </c>
      <c r="J70" s="131">
        <f t="shared" ref="J70:Q70" si="21">IF(J69&lt;&gt;0,0,(ROUND(J55-J67,5)&lt;&gt;0)*1)</f>
        <v>0</v>
      </c>
      <c r="K70" s="131">
        <f t="shared" si="21"/>
        <v>0</v>
      </c>
      <c r="L70" s="131">
        <f t="shared" si="21"/>
        <v>0</v>
      </c>
      <c r="M70" s="131">
        <f t="shared" si="21"/>
        <v>0</v>
      </c>
      <c r="N70" s="131">
        <f t="shared" si="21"/>
        <v>0</v>
      </c>
      <c r="O70" s="131">
        <f t="shared" si="21"/>
        <v>0</v>
      </c>
      <c r="P70" s="131">
        <f t="shared" si="21"/>
        <v>0</v>
      </c>
      <c r="Q70" s="131">
        <f t="shared" si="21"/>
        <v>0</v>
      </c>
    </row>
    <row r="71" spans="3:17" collapsed="1">
      <c r="C71" s="175" t="s">
        <v>416</v>
      </c>
      <c r="I71" s="104">
        <f>IF(ISERROR(SUM(J71:Q71)),0,MIN(SUM(J71:Q71),1))</f>
        <v>0</v>
      </c>
      <c r="J71" s="101">
        <f t="shared" ref="J71:Q71" si="22">MIN(SUM(J69:J70),1)</f>
        <v>0</v>
      </c>
      <c r="K71" s="101">
        <f t="shared" si="22"/>
        <v>0</v>
      </c>
      <c r="L71" s="101">
        <f t="shared" si="22"/>
        <v>0</v>
      </c>
      <c r="M71" s="101">
        <f t="shared" si="22"/>
        <v>0</v>
      </c>
      <c r="N71" s="101">
        <f t="shared" si="22"/>
        <v>0</v>
      </c>
      <c r="O71" s="101">
        <f t="shared" si="22"/>
        <v>0</v>
      </c>
      <c r="P71" s="101">
        <f t="shared" si="22"/>
        <v>0</v>
      </c>
      <c r="Q71" s="101">
        <f t="shared" si="22"/>
        <v>0</v>
      </c>
    </row>
    <row r="72" spans="3:17" hidden="1" outlineLevel="2"/>
    <row r="73" spans="3:17" collapsed="1">
      <c r="C73" s="175" t="s">
        <v>423</v>
      </c>
      <c r="I73" s="104">
        <f>IF(ISERROR(SUM(J73:Q73)),0,MIN(SUM(J73:Q73),1))</f>
        <v>0</v>
      </c>
      <c r="J73" s="101">
        <f t="shared" ref="J73:Q73" si="23">IF(ISERROR(J22),0,(J22&lt;0)*1)</f>
        <v>0</v>
      </c>
      <c r="K73" s="101">
        <f t="shared" si="23"/>
        <v>0</v>
      </c>
      <c r="L73" s="101">
        <f t="shared" si="23"/>
        <v>0</v>
      </c>
      <c r="M73" s="101">
        <f t="shared" si="23"/>
        <v>0</v>
      </c>
      <c r="N73" s="101">
        <f t="shared" si="23"/>
        <v>0</v>
      </c>
      <c r="O73" s="101">
        <f t="shared" si="23"/>
        <v>0</v>
      </c>
      <c r="P73" s="101">
        <f t="shared" si="23"/>
        <v>0</v>
      </c>
      <c r="Q73" s="101">
        <f t="shared" si="23"/>
        <v>0</v>
      </c>
    </row>
    <row r="75" spans="3:17">
      <c r="C75" s="113" t="str">
        <f>"Go to "&amp;Err_Chk_11_Hdg</f>
        <v>Go to Income Statement</v>
      </c>
      <c r="D75" s="9"/>
      <c r="E75" s="9"/>
      <c r="F75" s="9"/>
      <c r="G75" s="9"/>
      <c r="H75" s="9"/>
      <c r="I75" s="9"/>
    </row>
    <row r="76" spans="3:17">
      <c r="C76" s="113" t="str">
        <f>"Go to "&amp;Err_Chk_14_Hdg</f>
        <v>Go to Cash Flow Statement</v>
      </c>
      <c r="D76" s="9"/>
      <c r="E76" s="9"/>
      <c r="F76" s="9"/>
      <c r="G76" s="9"/>
      <c r="H76" s="9"/>
    </row>
  </sheetData>
  <mergeCells count="1">
    <mergeCell ref="B3:F3"/>
  </mergeCells>
  <conditionalFormatting sqref="J69:Q71 I71 I73:Q73">
    <cfRule type="cellIs" dxfId="42" priority="2" stopIfTrue="1" operator="notEqual">
      <formula>0</formula>
    </cfRule>
  </conditionalFormatting>
  <conditionalFormatting sqref="C73">
    <cfRule type="expression" dxfId="41" priority="1" stopIfTrue="1">
      <formula>I73&lt;&gt;0</formula>
    </cfRule>
  </conditionalFormatting>
  <conditionalFormatting sqref="C71">
    <cfRule type="expression" dxfId="40" priority="6" stopIfTrue="1">
      <formula>I71&lt;&gt;0</formula>
    </cfRule>
  </conditionalFormatting>
  <hyperlinks>
    <hyperlink ref="C75:I75" location="HL_Sheet_Main_35" tooltip="Go to Income Statement" display="HL_Sheet_Main_35"/>
    <hyperlink ref="C76:H76" location="HL_Sheet_Main_37" tooltip="Go to Cash Flow Statement" display="HL_Sheet_Main_37"/>
    <hyperlink ref="B3" location="HL_Home" tooltip="Go to Table of Contents" display="HL_Home"/>
    <hyperlink ref="A4" location="$B$14" tooltip="Go to Top of Sheet" display="$B$14"/>
    <hyperlink ref="B4" location="HL_Sheet_Main_35" tooltip="Go to Previous Sheet" display="HL_Sheet_Main_35"/>
    <hyperlink ref="C4" location="HL_Sheet_Main_37" tooltip="Go to Next Sheet" display="HL_Sheet_Main_37"/>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rowBreaks count="1" manualBreakCount="1">
    <brk id="45" min="1" max="16" man="1"/>
  </rowBreaks>
  <legacyDrawing r:id="rId2"/>
  <legacyDrawingHF r:id="rId3"/>
</worksheet>
</file>

<file path=xl/worksheets/sheet2.xml><?xml version="1.0" encoding="utf-8"?>
<worksheet xmlns="http://schemas.openxmlformats.org/spreadsheetml/2006/main" xmlns:r="http://schemas.openxmlformats.org/officeDocument/2006/relationships">
  <sheetPr codeName="Sheet2">
    <pageSetUpPr autoPageBreaks="0"/>
  </sheetPr>
  <dimension ref="A1:Q57"/>
  <sheetViews>
    <sheetView showGridLines="0" zoomScaleNormal="100" workbookViewId="0">
      <pane xSplit="1" ySplit="6" topLeftCell="B7" activePane="bottomRight" state="frozen"/>
      <selection activeCell="Q57" sqref="Q57"/>
      <selection pane="topRight" activeCell="Q57" sqref="Q57"/>
      <selection pane="bottomLeft" activeCell="Q57" sqref="Q57"/>
      <selection pane="bottomRight"/>
    </sheetView>
  </sheetViews>
  <sheetFormatPr defaultColWidth="11.83203125" defaultRowHeight="10.5" outlineLevelRow="1"/>
  <cols>
    <col min="1" max="2" width="3.83203125" customWidth="1"/>
    <col min="3" max="3" width="0" hidden="1" customWidth="1"/>
    <col min="4" max="4" width="5.1640625" customWidth="1"/>
    <col min="5" max="5" width="0" hidden="1" customWidth="1"/>
    <col min="6" max="6" width="2.83203125" customWidth="1"/>
    <col min="7" max="7" width="0" hidden="1" customWidth="1"/>
    <col min="8" max="8" width="1.83203125" customWidth="1"/>
    <col min="17" max="17" width="9.1640625" customWidth="1"/>
  </cols>
  <sheetData>
    <row r="1" spans="1:17" ht="18">
      <c r="B1" s="1" t="s">
        <v>50</v>
      </c>
    </row>
    <row r="2" spans="1:17" ht="15">
      <c r="B2" s="2" t="str">
        <f>Model_Name</f>
        <v>SMA 8. Calculation Formulae - Best Practice Model Example</v>
      </c>
    </row>
    <row r="3" spans="1:17">
      <c r="B3" s="245" t="s">
        <v>51</v>
      </c>
      <c r="C3" s="245"/>
      <c r="D3" s="245"/>
      <c r="E3" s="245"/>
      <c r="F3" s="245"/>
      <c r="G3" s="245"/>
      <c r="H3" s="245"/>
      <c r="I3" s="245"/>
      <c r="J3" s="237"/>
    </row>
    <row r="6" spans="1:17" s="22" customFormat="1" ht="12.75">
      <c r="A6" s="112" t="s">
        <v>52</v>
      </c>
      <c r="B6" s="239" t="s">
        <v>53</v>
      </c>
      <c r="C6" s="18"/>
      <c r="D6" s="18"/>
      <c r="E6" s="18"/>
      <c r="F6" s="18"/>
      <c r="G6" s="18"/>
      <c r="H6" s="18"/>
      <c r="I6" s="18"/>
      <c r="J6" s="18"/>
      <c r="K6" s="18"/>
      <c r="L6" s="18"/>
      <c r="M6" s="18"/>
      <c r="N6" s="18"/>
      <c r="O6" s="18"/>
      <c r="P6" s="18"/>
      <c r="Q6" s="240" t="s">
        <v>595</v>
      </c>
    </row>
    <row r="8" spans="1:17" ht="19.149999999999999" customHeight="1">
      <c r="B8" s="250">
        <v>1</v>
      </c>
      <c r="C8" s="250"/>
      <c r="D8" s="251" t="str">
        <f>Overview_SC!C9</f>
        <v>Overview</v>
      </c>
      <c r="E8" s="251"/>
      <c r="F8" s="251"/>
      <c r="G8" s="251"/>
      <c r="H8" s="251"/>
      <c r="I8" s="251"/>
      <c r="J8" s="251"/>
      <c r="K8" s="251"/>
      <c r="L8" s="251"/>
      <c r="M8" s="251"/>
      <c r="N8" s="251"/>
      <c r="O8" s="251"/>
      <c r="P8" s="251"/>
      <c r="Q8" s="241">
        <v>4</v>
      </c>
    </row>
    <row r="9" spans="1:17" ht="11.25">
      <c r="D9" s="252" t="s">
        <v>194</v>
      </c>
      <c r="E9" s="252"/>
      <c r="F9" s="253" t="str">
        <f>Notes_SSC!C9</f>
        <v>Notes</v>
      </c>
      <c r="G9" s="253"/>
      <c r="H9" s="253"/>
      <c r="I9" s="253"/>
      <c r="J9" s="253"/>
      <c r="K9" s="253"/>
      <c r="L9" s="253"/>
      <c r="M9" s="253"/>
      <c r="N9" s="253"/>
      <c r="O9" s="253"/>
      <c r="P9" s="253"/>
      <c r="Q9" s="242">
        <v>5</v>
      </c>
    </row>
    <row r="10" spans="1:17" outlineLevel="1">
      <c r="F10" s="247" t="s">
        <v>195</v>
      </c>
      <c r="G10" s="247"/>
      <c r="H10" s="248" t="str">
        <f>Notes_BO!B1</f>
        <v>Model Notes</v>
      </c>
      <c r="I10" s="248"/>
      <c r="J10" s="248"/>
      <c r="K10" s="248"/>
      <c r="L10" s="248"/>
      <c r="M10" s="248"/>
      <c r="N10" s="248"/>
      <c r="O10" s="248"/>
      <c r="P10" s="248"/>
      <c r="Q10" s="243">
        <v>6</v>
      </c>
    </row>
    <row r="11" spans="1:17" outlineLevel="1">
      <c r="F11" s="247" t="s">
        <v>196</v>
      </c>
      <c r="G11" s="247"/>
      <c r="H11" s="248" t="str">
        <f>Op_Formula_P_MS!B1</f>
        <v>Operational Forecasts - Formula Schematic</v>
      </c>
      <c r="I11" s="248"/>
      <c r="J11" s="248"/>
      <c r="K11" s="248"/>
      <c r="L11" s="248"/>
      <c r="M11" s="248"/>
      <c r="N11" s="248"/>
      <c r="O11" s="248"/>
      <c r="P11" s="248"/>
      <c r="Q11" s="243">
        <v>7</v>
      </c>
    </row>
    <row r="12" spans="1:17" ht="11.25">
      <c r="D12" s="252" t="s">
        <v>199</v>
      </c>
      <c r="E12" s="252"/>
      <c r="F12" s="253" t="str">
        <f>Keys_SSC!C9</f>
        <v>Keys</v>
      </c>
      <c r="G12" s="253"/>
      <c r="H12" s="253"/>
      <c r="I12" s="253"/>
      <c r="J12" s="253"/>
      <c r="K12" s="253"/>
      <c r="L12" s="253"/>
      <c r="M12" s="253"/>
      <c r="N12" s="253"/>
      <c r="O12" s="253"/>
      <c r="P12" s="253"/>
      <c r="Q12" s="242">
        <v>8</v>
      </c>
    </row>
    <row r="13" spans="1:17" outlineLevel="1">
      <c r="F13" s="247" t="s">
        <v>195</v>
      </c>
      <c r="G13" s="247"/>
      <c r="H13" s="248" t="str">
        <f>Keys_BO!B1</f>
        <v>Keys</v>
      </c>
      <c r="I13" s="248"/>
      <c r="J13" s="248"/>
      <c r="K13" s="248"/>
      <c r="L13" s="248"/>
      <c r="M13" s="248"/>
      <c r="N13" s="248"/>
      <c r="O13" s="248"/>
      <c r="P13" s="248"/>
      <c r="Q13" s="243">
        <v>9</v>
      </c>
    </row>
    <row r="14" spans="1:17" outlineLevel="1">
      <c r="H14" s="111" t="s">
        <v>203</v>
      </c>
      <c r="I14" s="249" t="str">
        <f>TOC_Hdg_1</f>
        <v>Formats &amp; Styles Key</v>
      </c>
      <c r="J14" s="249"/>
      <c r="K14" s="249"/>
      <c r="L14" s="249"/>
      <c r="M14" s="249"/>
      <c r="N14" s="249"/>
      <c r="O14" s="249"/>
      <c r="P14" s="249"/>
      <c r="Q14" s="111" t="s">
        <v>203</v>
      </c>
    </row>
    <row r="15" spans="1:17" outlineLevel="1">
      <c r="H15" s="111" t="s">
        <v>203</v>
      </c>
      <c r="I15" s="249" t="str">
        <f>TOC_Hdg_2</f>
        <v>Sheet Naming Key</v>
      </c>
      <c r="J15" s="249"/>
      <c r="K15" s="249"/>
      <c r="L15" s="249"/>
      <c r="M15" s="249"/>
      <c r="N15" s="249"/>
      <c r="O15" s="249"/>
      <c r="P15" s="249"/>
      <c r="Q15" s="111" t="s">
        <v>203</v>
      </c>
    </row>
    <row r="16" spans="1:17" outlineLevel="1">
      <c r="H16" s="111" t="s">
        <v>203</v>
      </c>
      <c r="I16" s="249" t="str">
        <f>TOC_Hdg_3</f>
        <v>Range Naming Key</v>
      </c>
      <c r="J16" s="249"/>
      <c r="K16" s="249"/>
      <c r="L16" s="249"/>
      <c r="M16" s="249"/>
      <c r="N16" s="249"/>
      <c r="O16" s="249"/>
      <c r="P16" s="249"/>
      <c r="Q16" s="111" t="s">
        <v>203</v>
      </c>
    </row>
    <row r="17" spans="2:17" ht="19.149999999999999" customHeight="1">
      <c r="B17" s="250">
        <v>2</v>
      </c>
      <c r="C17" s="250"/>
      <c r="D17" s="251" t="str">
        <f>Assumptions_SC!C9</f>
        <v>Assumptions</v>
      </c>
      <c r="E17" s="251"/>
      <c r="F17" s="251"/>
      <c r="G17" s="251"/>
      <c r="H17" s="251"/>
      <c r="I17" s="251"/>
      <c r="J17" s="251"/>
      <c r="K17" s="251"/>
      <c r="L17" s="251"/>
      <c r="M17" s="251"/>
      <c r="N17" s="251"/>
      <c r="O17" s="251"/>
      <c r="P17" s="251"/>
      <c r="Q17" s="241">
        <v>12</v>
      </c>
    </row>
    <row r="18" spans="2:17" ht="11.25">
      <c r="D18" s="252" t="s">
        <v>521</v>
      </c>
      <c r="E18" s="252"/>
      <c r="F18" s="253" t="str">
        <f>TS_Ass_SSC!C9</f>
        <v>Time Series Assumptions</v>
      </c>
      <c r="G18" s="253"/>
      <c r="H18" s="253"/>
      <c r="I18" s="253"/>
      <c r="J18" s="253"/>
      <c r="K18" s="253"/>
      <c r="L18" s="253"/>
      <c r="M18" s="253"/>
      <c r="N18" s="253"/>
      <c r="O18" s="253"/>
      <c r="P18" s="253"/>
      <c r="Q18" s="242">
        <v>13</v>
      </c>
    </row>
    <row r="19" spans="2:17" outlineLevel="1">
      <c r="F19" s="247" t="s">
        <v>195</v>
      </c>
      <c r="G19" s="247"/>
      <c r="H19" s="248" t="str">
        <f>TS_BA!B1</f>
        <v>Time Series Assumptions</v>
      </c>
      <c r="I19" s="248"/>
      <c r="J19" s="248"/>
      <c r="K19" s="248"/>
      <c r="L19" s="248"/>
      <c r="M19" s="248"/>
      <c r="N19" s="248"/>
      <c r="O19" s="248"/>
      <c r="P19" s="248"/>
      <c r="Q19" s="243">
        <v>14</v>
      </c>
    </row>
    <row r="20" spans="2:17" ht="11.25">
      <c r="D20" s="252" t="s">
        <v>523</v>
      </c>
      <c r="E20" s="252"/>
      <c r="F20" s="253" t="str">
        <f>Fcast_Ass_SSC!C9</f>
        <v>Forecast Assumptions</v>
      </c>
      <c r="G20" s="253"/>
      <c r="H20" s="253"/>
      <c r="I20" s="253"/>
      <c r="J20" s="253"/>
      <c r="K20" s="253"/>
      <c r="L20" s="253"/>
      <c r="M20" s="253"/>
      <c r="N20" s="253"/>
      <c r="O20" s="253"/>
      <c r="P20" s="253"/>
      <c r="Q20" s="242">
        <v>15</v>
      </c>
    </row>
    <row r="21" spans="2:17" outlineLevel="1">
      <c r="F21" s="247" t="s">
        <v>195</v>
      </c>
      <c r="G21" s="247"/>
      <c r="H21" s="248" t="str">
        <f>Fcast_TA!B1</f>
        <v>Assumptions</v>
      </c>
      <c r="I21" s="248"/>
      <c r="J21" s="248"/>
      <c r="K21" s="248"/>
      <c r="L21" s="248"/>
      <c r="M21" s="248"/>
      <c r="N21" s="248"/>
      <c r="O21" s="248"/>
      <c r="P21" s="248"/>
      <c r="Q21" s="243">
        <v>16</v>
      </c>
    </row>
    <row r="22" spans="2:17" outlineLevel="1">
      <c r="H22" s="111" t="s">
        <v>203</v>
      </c>
      <c r="I22" s="249" t="str">
        <f>TOC_Hdg_5</f>
        <v>Operational - Assumptions</v>
      </c>
      <c r="J22" s="249"/>
      <c r="K22" s="249"/>
      <c r="L22" s="249"/>
      <c r="M22" s="249"/>
      <c r="N22" s="249"/>
      <c r="O22" s="249"/>
      <c r="P22" s="249"/>
      <c r="Q22" s="111" t="s">
        <v>203</v>
      </c>
    </row>
    <row r="23" spans="2:17" outlineLevel="1">
      <c r="H23" s="111" t="s">
        <v>203</v>
      </c>
      <c r="I23" s="249" t="str">
        <f>TOC_Hdg_9</f>
        <v>Working Capital - Assumptions</v>
      </c>
      <c r="J23" s="249"/>
      <c r="K23" s="249"/>
      <c r="L23" s="249"/>
      <c r="M23" s="249"/>
      <c r="N23" s="249"/>
      <c r="O23" s="249"/>
      <c r="P23" s="249"/>
      <c r="Q23" s="111" t="s">
        <v>203</v>
      </c>
    </row>
    <row r="24" spans="2:17" outlineLevel="1">
      <c r="H24" s="111" t="s">
        <v>203</v>
      </c>
      <c r="I24" s="249" t="str">
        <f>TOC_Hdg_10</f>
        <v>Assets - Assumptions</v>
      </c>
      <c r="J24" s="249"/>
      <c r="K24" s="249"/>
      <c r="L24" s="249"/>
      <c r="M24" s="249"/>
      <c r="N24" s="249"/>
      <c r="O24" s="249"/>
      <c r="P24" s="249"/>
      <c r="Q24" s="111" t="s">
        <v>203</v>
      </c>
    </row>
    <row r="25" spans="2:17" outlineLevel="1">
      <c r="H25" s="111" t="s">
        <v>203</v>
      </c>
      <c r="I25" s="249" t="str">
        <f>TOC_Hdg_11</f>
        <v>Capital - Assumptions</v>
      </c>
      <c r="J25" s="249"/>
      <c r="K25" s="249"/>
      <c r="L25" s="249"/>
      <c r="M25" s="249"/>
      <c r="N25" s="249"/>
      <c r="O25" s="249"/>
      <c r="P25" s="249"/>
      <c r="Q25" s="111" t="s">
        <v>203</v>
      </c>
    </row>
    <row r="26" spans="2:17" outlineLevel="1">
      <c r="H26" s="111" t="s">
        <v>203</v>
      </c>
      <c r="I26" s="249" t="str">
        <f>TOC_Hdg_12</f>
        <v>Taxation - Assumptions</v>
      </c>
      <c r="J26" s="249"/>
      <c r="K26" s="249"/>
      <c r="L26" s="249"/>
      <c r="M26" s="249"/>
      <c r="N26" s="249"/>
      <c r="O26" s="249"/>
      <c r="P26" s="249"/>
      <c r="Q26" s="111" t="s">
        <v>203</v>
      </c>
    </row>
    <row r="27" spans="2:17" outlineLevel="1">
      <c r="H27" s="111" t="s">
        <v>203</v>
      </c>
      <c r="I27" s="249" t="str">
        <f>TOC_Hdg_13</f>
        <v>Other Balance Sheet Items - Assumptions</v>
      </c>
      <c r="J27" s="249"/>
      <c r="K27" s="249"/>
      <c r="L27" s="249"/>
      <c r="M27" s="249"/>
      <c r="N27" s="249"/>
      <c r="O27" s="249"/>
      <c r="P27" s="249"/>
      <c r="Q27" s="111" t="s">
        <v>203</v>
      </c>
    </row>
    <row r="28" spans="2:17" ht="19.149999999999999" customHeight="1">
      <c r="B28" s="250">
        <v>3</v>
      </c>
      <c r="C28" s="250"/>
      <c r="D28" s="251" t="str">
        <f>Base_OP_SC!C9</f>
        <v>Outputs</v>
      </c>
      <c r="E28" s="251"/>
      <c r="F28" s="251"/>
      <c r="G28" s="251"/>
      <c r="H28" s="251"/>
      <c r="I28" s="251"/>
      <c r="J28" s="251"/>
      <c r="K28" s="251"/>
      <c r="L28" s="251"/>
      <c r="M28" s="251"/>
      <c r="N28" s="251"/>
      <c r="O28" s="251"/>
      <c r="P28" s="251"/>
      <c r="Q28" s="241">
        <v>21</v>
      </c>
    </row>
    <row r="29" spans="2:17" ht="11.25">
      <c r="D29" s="252" t="s">
        <v>525</v>
      </c>
      <c r="E29" s="252"/>
      <c r="F29" s="253" t="str">
        <f>Fcast_OP_SSC!C9</f>
        <v>Forecast Outputs</v>
      </c>
      <c r="G29" s="253"/>
      <c r="H29" s="253"/>
      <c r="I29" s="253"/>
      <c r="J29" s="253"/>
      <c r="K29" s="253"/>
      <c r="L29" s="253"/>
      <c r="M29" s="253"/>
      <c r="N29" s="253"/>
      <c r="O29" s="253"/>
      <c r="P29" s="253"/>
      <c r="Q29" s="242">
        <v>22</v>
      </c>
    </row>
    <row r="30" spans="2:17" outlineLevel="1">
      <c r="F30" s="247" t="s">
        <v>195</v>
      </c>
      <c r="G30" s="247"/>
      <c r="H30" s="248" t="str">
        <f>Fcast_TO!B1</f>
        <v>Outputs</v>
      </c>
      <c r="I30" s="248"/>
      <c r="J30" s="248"/>
      <c r="K30" s="248"/>
      <c r="L30" s="248"/>
      <c r="M30" s="248"/>
      <c r="N30" s="248"/>
      <c r="O30" s="248"/>
      <c r="P30" s="248"/>
      <c r="Q30" s="243">
        <v>23</v>
      </c>
    </row>
    <row r="31" spans="2:17" outlineLevel="1">
      <c r="H31" s="111" t="s">
        <v>203</v>
      </c>
      <c r="I31" s="249" t="str">
        <f>TOC_Hdg_21</f>
        <v>Operational - Outputs</v>
      </c>
      <c r="J31" s="249"/>
      <c r="K31" s="249"/>
      <c r="L31" s="249"/>
      <c r="M31" s="249"/>
      <c r="N31" s="249"/>
      <c r="O31" s="249"/>
      <c r="P31" s="249"/>
      <c r="Q31" s="111" t="s">
        <v>203</v>
      </c>
    </row>
    <row r="32" spans="2:17" outlineLevel="1">
      <c r="H32" s="111" t="s">
        <v>203</v>
      </c>
      <c r="I32" s="249" t="str">
        <f>TOC_Hdg_24</f>
        <v>Working Capital - Outputs</v>
      </c>
      <c r="J32" s="249"/>
      <c r="K32" s="249"/>
      <c r="L32" s="249"/>
      <c r="M32" s="249"/>
      <c r="N32" s="249"/>
      <c r="O32" s="249"/>
      <c r="P32" s="249"/>
      <c r="Q32" s="111" t="s">
        <v>203</v>
      </c>
    </row>
    <row r="33" spans="2:17" outlineLevel="1">
      <c r="H33" s="111" t="s">
        <v>203</v>
      </c>
      <c r="I33" s="249" t="str">
        <f>TOC_Hdg_17</f>
        <v>Assets - Outputs</v>
      </c>
      <c r="J33" s="249"/>
      <c r="K33" s="249"/>
      <c r="L33" s="249"/>
      <c r="M33" s="249"/>
      <c r="N33" s="249"/>
      <c r="O33" s="249"/>
      <c r="P33" s="249"/>
      <c r="Q33" s="111" t="s">
        <v>203</v>
      </c>
    </row>
    <row r="34" spans="2:17" outlineLevel="1">
      <c r="H34" s="111" t="s">
        <v>203</v>
      </c>
      <c r="I34" s="249" t="str">
        <f>TOC_Hdg_15</f>
        <v>Capital - Outputs</v>
      </c>
      <c r="J34" s="249"/>
      <c r="K34" s="249"/>
      <c r="L34" s="249"/>
      <c r="M34" s="249"/>
      <c r="N34" s="249"/>
      <c r="O34" s="249"/>
      <c r="P34" s="249"/>
      <c r="Q34" s="111" t="s">
        <v>203</v>
      </c>
    </row>
    <row r="35" spans="2:17" outlineLevel="1">
      <c r="H35" s="111" t="s">
        <v>203</v>
      </c>
      <c r="I35" s="249" t="str">
        <f>TOC_Hdg_32</f>
        <v>Taxation - Output Summary</v>
      </c>
      <c r="J35" s="249"/>
      <c r="K35" s="249"/>
      <c r="L35" s="249"/>
      <c r="M35" s="249"/>
      <c r="N35" s="249"/>
      <c r="O35" s="249"/>
      <c r="P35" s="249"/>
      <c r="Q35" s="111" t="s">
        <v>203</v>
      </c>
    </row>
    <row r="36" spans="2:17" outlineLevel="1">
      <c r="H36" s="111" t="s">
        <v>203</v>
      </c>
      <c r="I36" s="249" t="str">
        <f>TOC_Hdg_16</f>
        <v>Other Balance Sheet Items - Outputs</v>
      </c>
      <c r="J36" s="249"/>
      <c r="K36" s="249"/>
      <c r="L36" s="249"/>
      <c r="M36" s="249"/>
      <c r="N36" s="249"/>
      <c r="O36" s="249"/>
      <c r="P36" s="249"/>
      <c r="Q36" s="111" t="s">
        <v>203</v>
      </c>
    </row>
    <row r="37" spans="2:17" ht="11.25">
      <c r="D37" s="252" t="s">
        <v>527</v>
      </c>
      <c r="E37" s="252"/>
      <c r="F37" s="253" t="str">
        <f>FS_OP_SSC!C9</f>
        <v>Financial Statements</v>
      </c>
      <c r="G37" s="253"/>
      <c r="H37" s="253"/>
      <c r="I37" s="253"/>
      <c r="J37" s="253"/>
      <c r="K37" s="253"/>
      <c r="L37" s="253"/>
      <c r="M37" s="253"/>
      <c r="N37" s="253"/>
      <c r="O37" s="253"/>
      <c r="P37" s="253"/>
      <c r="Q37" s="242">
        <v>31</v>
      </c>
    </row>
    <row r="38" spans="2:17" outlineLevel="1">
      <c r="F38" s="247" t="s">
        <v>195</v>
      </c>
      <c r="G38" s="247"/>
      <c r="H38" s="248" t="str">
        <f>IS_TO!B1</f>
        <v>Income Statement</v>
      </c>
      <c r="I38" s="248"/>
      <c r="J38" s="248"/>
      <c r="K38" s="248"/>
      <c r="L38" s="248"/>
      <c r="M38" s="248"/>
      <c r="N38" s="248"/>
      <c r="O38" s="248"/>
      <c r="P38" s="248"/>
      <c r="Q38" s="243">
        <v>32</v>
      </c>
    </row>
    <row r="39" spans="2:17" outlineLevel="1">
      <c r="F39" s="247" t="s">
        <v>196</v>
      </c>
      <c r="G39" s="247"/>
      <c r="H39" s="248" t="str">
        <f>BS_TO!B1</f>
        <v>Balance Sheet</v>
      </c>
      <c r="I39" s="248"/>
      <c r="J39" s="248"/>
      <c r="K39" s="248"/>
      <c r="L39" s="248"/>
      <c r="M39" s="248"/>
      <c r="N39" s="248"/>
      <c r="O39" s="248"/>
      <c r="P39" s="248"/>
      <c r="Q39" s="243">
        <v>33</v>
      </c>
    </row>
    <row r="40" spans="2:17" outlineLevel="1">
      <c r="F40" s="247" t="s">
        <v>197</v>
      </c>
      <c r="G40" s="247"/>
      <c r="H40" s="248" t="str">
        <f>CFS_TO!B1</f>
        <v>Cash Flow Statement</v>
      </c>
      <c r="I40" s="248"/>
      <c r="J40" s="248"/>
      <c r="K40" s="248"/>
      <c r="L40" s="248"/>
      <c r="M40" s="248"/>
      <c r="N40" s="248"/>
      <c r="O40" s="248"/>
      <c r="P40" s="248"/>
      <c r="Q40" s="243">
        <v>35</v>
      </c>
    </row>
    <row r="41" spans="2:17" outlineLevel="1">
      <c r="H41" s="111" t="s">
        <v>203</v>
      </c>
      <c r="I41" s="249" t="str">
        <f>TOC_Hdg_35</f>
        <v>Direct Cash Flow Statement</v>
      </c>
      <c r="J41" s="249"/>
      <c r="K41" s="249"/>
      <c r="L41" s="249"/>
      <c r="M41" s="249"/>
      <c r="N41" s="249"/>
      <c r="O41" s="249"/>
      <c r="P41" s="249"/>
      <c r="Q41" s="111" t="s">
        <v>203</v>
      </c>
    </row>
    <row r="42" spans="2:17" outlineLevel="1">
      <c r="H42" s="111" t="s">
        <v>203</v>
      </c>
      <c r="I42" s="249" t="str">
        <f>TOC_Hdg_36</f>
        <v>Indirect Cash Flow Statement</v>
      </c>
      <c r="J42" s="249"/>
      <c r="K42" s="249"/>
      <c r="L42" s="249"/>
      <c r="M42" s="249"/>
      <c r="N42" s="249"/>
      <c r="O42" s="249"/>
      <c r="P42" s="249"/>
      <c r="Q42" s="111" t="s">
        <v>203</v>
      </c>
    </row>
    <row r="43" spans="2:17" outlineLevel="1">
      <c r="H43" s="111" t="s">
        <v>203</v>
      </c>
      <c r="I43" s="249" t="str">
        <f>TOC_Hdg_14</f>
        <v>Capital Providers - Cash Flow Reconciliation</v>
      </c>
      <c r="J43" s="249"/>
      <c r="K43" s="249"/>
      <c r="L43" s="249"/>
      <c r="M43" s="249"/>
      <c r="N43" s="249"/>
      <c r="O43" s="249"/>
      <c r="P43" s="249"/>
      <c r="Q43" s="111" t="s">
        <v>203</v>
      </c>
    </row>
    <row r="44" spans="2:17" ht="11.25">
      <c r="D44" s="252" t="s">
        <v>529</v>
      </c>
      <c r="E44" s="252"/>
      <c r="F44" s="253" t="str">
        <f>Dashboards_SSC!C9</f>
        <v>Dashboard Outputs</v>
      </c>
      <c r="G44" s="253"/>
      <c r="H44" s="253"/>
      <c r="I44" s="253"/>
      <c r="J44" s="253"/>
      <c r="K44" s="253"/>
      <c r="L44" s="253"/>
      <c r="M44" s="253"/>
      <c r="N44" s="253"/>
      <c r="O44" s="253"/>
      <c r="P44" s="253"/>
      <c r="Q44" s="242">
        <v>38</v>
      </c>
    </row>
    <row r="45" spans="2:17" outlineLevel="1">
      <c r="F45" s="247" t="s">
        <v>195</v>
      </c>
      <c r="G45" s="247"/>
      <c r="H45" s="248" t="str">
        <f>BS_Sum_P_MS!B1</f>
        <v>Business Planning Summary</v>
      </c>
      <c r="I45" s="248"/>
      <c r="J45" s="248"/>
      <c r="K45" s="248"/>
      <c r="L45" s="248"/>
      <c r="M45" s="248"/>
      <c r="N45" s="248"/>
      <c r="O45" s="248"/>
      <c r="P45" s="248"/>
      <c r="Q45" s="243">
        <v>39</v>
      </c>
    </row>
    <row r="46" spans="2:17" ht="19.149999999999999" customHeight="1">
      <c r="B46" s="250">
        <v>4</v>
      </c>
      <c r="C46" s="250"/>
      <c r="D46" s="251" t="str">
        <f>Appendices_SC!C9</f>
        <v>Appendices</v>
      </c>
      <c r="E46" s="251"/>
      <c r="F46" s="251"/>
      <c r="G46" s="251"/>
      <c r="H46" s="251"/>
      <c r="I46" s="251"/>
      <c r="J46" s="251"/>
      <c r="K46" s="251"/>
      <c r="L46" s="251"/>
      <c r="M46" s="251"/>
      <c r="N46" s="251"/>
      <c r="O46" s="251"/>
      <c r="P46" s="251"/>
      <c r="Q46" s="241">
        <v>40</v>
      </c>
    </row>
    <row r="47" spans="2:17" ht="11.25">
      <c r="D47" s="252" t="s">
        <v>531</v>
      </c>
      <c r="E47" s="252"/>
      <c r="F47" s="253" t="str">
        <f>Checks_SSC!C9</f>
        <v>Checks</v>
      </c>
      <c r="G47" s="253"/>
      <c r="H47" s="253"/>
      <c r="I47" s="253"/>
      <c r="J47" s="253"/>
      <c r="K47" s="253"/>
      <c r="L47" s="253"/>
      <c r="M47" s="253"/>
      <c r="N47" s="253"/>
      <c r="O47" s="253"/>
      <c r="P47" s="253"/>
      <c r="Q47" s="242">
        <v>41</v>
      </c>
    </row>
    <row r="48" spans="2:17" outlineLevel="1">
      <c r="F48" s="247" t="s">
        <v>195</v>
      </c>
      <c r="G48" s="247"/>
      <c r="H48" s="248" t="str">
        <f>Checks_BO!B1</f>
        <v>Checks</v>
      </c>
      <c r="I48" s="248"/>
      <c r="J48" s="248"/>
      <c r="K48" s="248"/>
      <c r="L48" s="248"/>
      <c r="M48" s="248"/>
      <c r="N48" s="248"/>
      <c r="O48" s="248"/>
      <c r="P48" s="248"/>
      <c r="Q48" s="243">
        <v>42</v>
      </c>
    </row>
    <row r="49" spans="2:17" outlineLevel="1">
      <c r="H49" s="111" t="s">
        <v>203</v>
      </c>
      <c r="I49" s="249" t="str">
        <f>TOC_Hdg_6</f>
        <v>Error Checks</v>
      </c>
      <c r="J49" s="249"/>
      <c r="K49" s="249"/>
      <c r="L49" s="249"/>
      <c r="M49" s="249"/>
      <c r="N49" s="249"/>
      <c r="O49" s="249"/>
      <c r="P49" s="249"/>
      <c r="Q49" s="111" t="s">
        <v>203</v>
      </c>
    </row>
    <row r="50" spans="2:17" outlineLevel="1">
      <c r="H50" s="111" t="s">
        <v>203</v>
      </c>
      <c r="I50" s="249" t="str">
        <f>TOC_Hdg_7</f>
        <v>Sensitivity Checks</v>
      </c>
      <c r="J50" s="249"/>
      <c r="K50" s="249"/>
      <c r="L50" s="249"/>
      <c r="M50" s="249"/>
      <c r="N50" s="249"/>
      <c r="O50" s="249"/>
      <c r="P50" s="249"/>
      <c r="Q50" s="111" t="s">
        <v>203</v>
      </c>
    </row>
    <row r="51" spans="2:17" outlineLevel="1">
      <c r="H51" s="111" t="s">
        <v>203</v>
      </c>
      <c r="I51" s="249" t="str">
        <f>TOC_Hdg_8</f>
        <v>Alert Checks</v>
      </c>
      <c r="J51" s="249"/>
      <c r="K51" s="249"/>
      <c r="L51" s="249"/>
      <c r="M51" s="249"/>
      <c r="N51" s="249"/>
      <c r="O51" s="249"/>
      <c r="P51" s="249"/>
      <c r="Q51" s="111" t="s">
        <v>203</v>
      </c>
    </row>
    <row r="52" spans="2:17" ht="11.25">
      <c r="D52" s="252" t="s">
        <v>533</v>
      </c>
      <c r="E52" s="252"/>
      <c r="F52" s="253" t="str">
        <f>LU_SSC!C9</f>
        <v>Lookup Tables</v>
      </c>
      <c r="G52" s="253"/>
      <c r="H52" s="253"/>
      <c r="I52" s="253"/>
      <c r="J52" s="253"/>
      <c r="K52" s="253"/>
      <c r="L52" s="253"/>
      <c r="M52" s="253"/>
      <c r="N52" s="253"/>
      <c r="O52" s="253"/>
      <c r="P52" s="253"/>
      <c r="Q52" s="242">
        <v>45</v>
      </c>
    </row>
    <row r="53" spans="2:17" outlineLevel="1">
      <c r="F53" s="247" t="s">
        <v>195</v>
      </c>
      <c r="G53" s="247"/>
      <c r="H53" s="248" t="str">
        <f>TS_LU!B1</f>
        <v>Time Series Lookup Tables</v>
      </c>
      <c r="I53" s="248"/>
      <c r="J53" s="248"/>
      <c r="K53" s="248"/>
      <c r="L53" s="248"/>
      <c r="M53" s="248"/>
      <c r="N53" s="248"/>
      <c r="O53" s="248"/>
      <c r="P53" s="248"/>
      <c r="Q53" s="243">
        <v>46</v>
      </c>
    </row>
    <row r="54" spans="2:17" outlineLevel="1">
      <c r="F54" s="247" t="s">
        <v>196</v>
      </c>
      <c r="G54" s="247"/>
      <c r="H54" s="248" t="str">
        <f>Capital_LU!B1</f>
        <v>Capital - Lookup Tables</v>
      </c>
      <c r="I54" s="248"/>
      <c r="J54" s="248"/>
      <c r="K54" s="248"/>
      <c r="L54" s="248"/>
      <c r="M54" s="248"/>
      <c r="N54" s="248"/>
      <c r="O54" s="248"/>
      <c r="P54" s="248"/>
      <c r="Q54" s="243">
        <v>49</v>
      </c>
    </row>
    <row r="55" spans="2:17" outlineLevel="1">
      <c r="F55" s="247" t="s">
        <v>197</v>
      </c>
      <c r="G55" s="247"/>
      <c r="H55" s="248" t="str">
        <f>Dashboards_LU!B1</f>
        <v>Dashboards - Lookup Tables</v>
      </c>
      <c r="I55" s="248"/>
      <c r="J55" s="248"/>
      <c r="K55" s="248"/>
      <c r="L55" s="248"/>
      <c r="M55" s="248"/>
      <c r="N55" s="248"/>
      <c r="O55" s="248"/>
      <c r="P55" s="248"/>
      <c r="Q55" s="243">
        <v>50</v>
      </c>
    </row>
    <row r="57" spans="2:17" ht="16.899999999999999" customHeight="1">
      <c r="B57" s="34" t="s">
        <v>596</v>
      </c>
      <c r="Q57" s="244">
        <v>50</v>
      </c>
    </row>
  </sheetData>
  <mergeCells count="76">
    <mergeCell ref="B46:C46"/>
    <mergeCell ref="D46:P46"/>
    <mergeCell ref="D52:E52"/>
    <mergeCell ref="F52:P52"/>
    <mergeCell ref="F55:G55"/>
    <mergeCell ref="H55:P55"/>
    <mergeCell ref="D47:E47"/>
    <mergeCell ref="F47:P47"/>
    <mergeCell ref="F48:G48"/>
    <mergeCell ref="H48:P48"/>
    <mergeCell ref="I51:P51"/>
    <mergeCell ref="F54:G54"/>
    <mergeCell ref="H54:P54"/>
    <mergeCell ref="F53:G53"/>
    <mergeCell ref="H53:P53"/>
    <mergeCell ref="I49:P49"/>
    <mergeCell ref="I50:P50"/>
    <mergeCell ref="I43:P43"/>
    <mergeCell ref="D44:E44"/>
    <mergeCell ref="F44:P44"/>
    <mergeCell ref="F45:G45"/>
    <mergeCell ref="H45:P45"/>
    <mergeCell ref="B17:C17"/>
    <mergeCell ref="D17:P17"/>
    <mergeCell ref="D18:E18"/>
    <mergeCell ref="F18:P18"/>
    <mergeCell ref="D29:E29"/>
    <mergeCell ref="F29:P29"/>
    <mergeCell ref="F19:G19"/>
    <mergeCell ref="H19:P19"/>
    <mergeCell ref="D20:E20"/>
    <mergeCell ref="F20:P20"/>
    <mergeCell ref="F21:G21"/>
    <mergeCell ref="H21:P21"/>
    <mergeCell ref="B28:C28"/>
    <mergeCell ref="D28:P28"/>
    <mergeCell ref="I42:P42"/>
    <mergeCell ref="F38:G38"/>
    <mergeCell ref="H38:P38"/>
    <mergeCell ref="F39:G39"/>
    <mergeCell ref="H39:P39"/>
    <mergeCell ref="D37:E37"/>
    <mergeCell ref="F37:P37"/>
    <mergeCell ref="F40:G40"/>
    <mergeCell ref="H40:P40"/>
    <mergeCell ref="F30:G30"/>
    <mergeCell ref="H30:P30"/>
    <mergeCell ref="I15:P15"/>
    <mergeCell ref="I41:P41"/>
    <mergeCell ref="I25:P25"/>
    <mergeCell ref="I26:P26"/>
    <mergeCell ref="I14:P14"/>
    <mergeCell ref="I36:P36"/>
    <mergeCell ref="I33:P33"/>
    <mergeCell ref="I34:P34"/>
    <mergeCell ref="I31:P31"/>
    <mergeCell ref="I32:P32"/>
    <mergeCell ref="I35:P35"/>
    <mergeCell ref="I27:P27"/>
    <mergeCell ref="I16:P16"/>
    <mergeCell ref="F13:G13"/>
    <mergeCell ref="H13:P13"/>
    <mergeCell ref="B3:I3"/>
    <mergeCell ref="I24:P24"/>
    <mergeCell ref="I22:P22"/>
    <mergeCell ref="I23:P23"/>
    <mergeCell ref="B8:C8"/>
    <mergeCell ref="D8:P8"/>
    <mergeCell ref="D9:E9"/>
    <mergeCell ref="F9:P9"/>
    <mergeCell ref="F10:G10"/>
    <mergeCell ref="H10:P10"/>
    <mergeCell ref="F11:G11"/>
    <mergeCell ref="H11:P11"/>
    <mergeCell ref="D12:E12"/>
    <mergeCell ref="F12:P12"/>
  </mergeCells>
  <hyperlinks>
    <hyperlink ref="B8" location="HL_Sheet_Main_2" tooltip="Go to Overview" display="HL_Sheet_Main_2"/>
    <hyperlink ref="D8" location="HL_Sheet_Main_2" tooltip="Go to Overview" display="HL_Sheet_Main_2"/>
    <hyperlink ref="Q8" location="HL_Sheet_Main_2" tooltip="Go to Overview" display="HL_Sheet_Main_2"/>
    <hyperlink ref="D9" location="HL_Sheet_Main_3" tooltip="Go to Notes" display="HL_Sheet_Main_3"/>
    <hyperlink ref="F9" location="HL_Sheet_Main_3" tooltip="Go to Notes" display="HL_Sheet_Main_3"/>
    <hyperlink ref="Q9" location="HL_Sheet_Main_3" tooltip="Go to Notes" display="HL_Sheet_Main_3"/>
    <hyperlink ref="F10" location="HL_Sheet_Main" tooltip="Go to Model Notes" display="HL_Sheet_Main"/>
    <hyperlink ref="H10" location="HL_Sheet_Main" tooltip="Go to Model Notes" display="HL_Sheet_Main"/>
    <hyperlink ref="Q10" location="HL_Sheet_Main" tooltip="Go to Model Notes" display="HL_Sheet_Main"/>
    <hyperlink ref="F11" location="HL_Sheet_Main_8" tooltip="Go to Operational Forecasts - Formula Schematic" display="HL_Sheet_Main_8"/>
    <hyperlink ref="H11" location="HL_Sheet_Main_8" tooltip="Go to Operational Forecasts - Formula Schematic" display="HL_Sheet_Main_8"/>
    <hyperlink ref="Q11" location="HL_Sheet_Main_8" tooltip="Go to Operational Forecasts - Formula Schematic" display="HL_Sheet_Main_8"/>
    <hyperlink ref="D12" location="HL_Sheet_Main_6" tooltip="Go to Keys" display="HL_Sheet_Main_6"/>
    <hyperlink ref="F12" location="HL_Sheet_Main_6" tooltip="Go to Keys" display="HL_Sheet_Main_6"/>
    <hyperlink ref="Q12" location="HL_Sheet_Main_6" tooltip="Go to Keys" display="HL_Sheet_Main_6"/>
    <hyperlink ref="F13" location="HL_Sheet_Main_7" tooltip="Go to Keys" display="HL_Sheet_Main_7"/>
    <hyperlink ref="H13" location="HL_Sheet_Main_7" tooltip="Go to Keys" display="HL_Sheet_Main_7"/>
    <hyperlink ref="Q13" location="HL_Sheet_Main_7" tooltip="Go to Keys" display="HL_Sheet_Main_7"/>
    <hyperlink ref="H14" location="HL_TOC_1" tooltip="Go to Formats &amp; Styles Key" display="HL_TOC_1"/>
    <hyperlink ref="I14" location="HL_TOC_1" tooltip="Go to Formats &amp; Styles Key" display="HL_TOC_1"/>
    <hyperlink ref="Q14" location="HL_TOC_1" tooltip="Go to Formats &amp; Styles Key" display="HL_TOC_1"/>
    <hyperlink ref="H15" location="HL_TOC_2" tooltip="Go to Sheet Naming Key" display="HL_TOC_2"/>
    <hyperlink ref="I15" location="HL_TOC_2" tooltip="Go to Sheet Naming Key" display="HL_TOC_2"/>
    <hyperlink ref="Q15" location="HL_TOC_2" tooltip="Go to Sheet Naming Key" display="HL_TOC_2"/>
    <hyperlink ref="H16" location="HL_TOC_3" tooltip="Go to Range Naming Key" display="HL_TOC_3"/>
    <hyperlink ref="I16" location="HL_TOC_3" tooltip="Go to Range Naming Key" display="HL_TOC_3"/>
    <hyperlink ref="Q16" location="HL_TOC_3" tooltip="Go to Range Naming Key" display="HL_TOC_3"/>
    <hyperlink ref="B17" location="HL_Sheet_Main_11" tooltip="Go to Assumptions" display="HL_Sheet_Main_11"/>
    <hyperlink ref="D17" location="HL_Sheet_Main_11" tooltip="Go to Assumptions" display="HL_Sheet_Main_11"/>
    <hyperlink ref="Q17" location="HL_Sheet_Main_11" tooltip="Go to Assumptions" display="HL_Sheet_Main_11"/>
    <hyperlink ref="D18" location="HL_Sheet_Main_4" tooltip="Go to Time Series Assumptions" display="HL_Sheet_Main_4"/>
    <hyperlink ref="F18" location="HL_Sheet_Main_4" tooltip="Go to Time Series Assumptions" display="HL_Sheet_Main_4"/>
    <hyperlink ref="Q18" location="HL_Sheet_Main_4" tooltip="Go to Time Series Assumptions" display="HL_Sheet_Main_4"/>
    <hyperlink ref="F19" location="HL_Sheet_Main_10" tooltip="Go to Time Series Assumptions" display="HL_Sheet_Main_10"/>
    <hyperlink ref="H19" location="HL_Sheet_Main_10" tooltip="Go to Time Series Assumptions" display="HL_Sheet_Main_10"/>
    <hyperlink ref="Q19" location="HL_Sheet_Main_10" tooltip="Go to Time Series Assumptions" display="HL_Sheet_Main_10"/>
    <hyperlink ref="D20" location="HL_Sheet_Main_5" tooltip="Go to Forecast Assumptions" display="HL_Sheet_Main_5"/>
    <hyperlink ref="F20" location="HL_Sheet_Main_5" tooltip="Go to Forecast Assumptions" display="HL_Sheet_Main_5"/>
    <hyperlink ref="Q20" location="HL_Sheet_Main_5" tooltip="Go to Forecast Assumptions" display="HL_Sheet_Main_5"/>
    <hyperlink ref="F21" location="HL_Sheet_Main_12" tooltip="Go to Assumptions" display="HL_Sheet_Main_12"/>
    <hyperlink ref="H21" location="HL_Sheet_Main_12" tooltip="Go to Assumptions" display="HL_Sheet_Main_12"/>
    <hyperlink ref="Q21" location="HL_Sheet_Main_12" tooltip="Go to Assumptions" display="HL_Sheet_Main_12"/>
    <hyperlink ref="H22" location="HL_TOC_5" tooltip="Go to Operational - Assumptions" display="HL_TOC_5"/>
    <hyperlink ref="I22" location="HL_TOC_5" tooltip="Go to Operational - Assumptions" display="HL_TOC_5"/>
    <hyperlink ref="Q22" location="HL_TOC_5" tooltip="Go to Operational - Assumptions" display="HL_TOC_5"/>
    <hyperlink ref="H23" location="HL_TOC_9" tooltip="Go to Working Capital - Assumptions" display="HL_TOC_9"/>
    <hyperlink ref="I23" location="HL_TOC_9" tooltip="Go to Working Capital - Assumptions" display="HL_TOC_9"/>
    <hyperlink ref="Q23" location="HL_TOC_9" tooltip="Go to Working Capital - Assumptions" display="HL_TOC_9"/>
    <hyperlink ref="H24" location="HL_TOC_10" tooltip="Go to Assets - Assumptions" display="HL_TOC_10"/>
    <hyperlink ref="I24" location="HL_TOC_10" tooltip="Go to Assets - Assumptions" display="HL_TOC_10"/>
    <hyperlink ref="Q24" location="HL_TOC_10" tooltip="Go to Assets - Assumptions" display="HL_TOC_10"/>
    <hyperlink ref="H25" location="HL_TOC_11" tooltip="Go to Capital - Assumptions" display="HL_TOC_11"/>
    <hyperlink ref="I25" location="HL_TOC_11" tooltip="Go to Capital - Assumptions" display="HL_TOC_11"/>
    <hyperlink ref="Q25" location="HL_TOC_11" tooltip="Go to Capital - Assumptions" display="HL_TOC_11"/>
    <hyperlink ref="H26" location="HL_TOC_12" tooltip="Go to Taxation - Assumptions" display="HL_TOC_12"/>
    <hyperlink ref="I26" location="HL_TOC_12" tooltip="Go to Taxation - Assumptions" display="HL_TOC_12"/>
    <hyperlink ref="Q26" location="HL_TOC_12" tooltip="Go to Taxation - Assumptions" display="HL_TOC_12"/>
    <hyperlink ref="H27" location="HL_TOC_13" tooltip="Go to Other Balance Sheet Items - Assumptions" display="HL_TOC_13"/>
    <hyperlink ref="I27" location="HL_TOC_13" tooltip="Go to Other Balance Sheet Items - Assumptions" display="HL_TOC_13"/>
    <hyperlink ref="Q27" location="HL_TOC_13" tooltip="Go to Other Balance Sheet Items - Assumptions" display="HL_TOC_13"/>
    <hyperlink ref="B28" location="HL_Sheet_Main_16" tooltip="Go to Outputs" display="HL_Sheet_Main_16"/>
    <hyperlink ref="D28" location="HL_Sheet_Main_16" tooltip="Go to Outputs" display="HL_Sheet_Main_16"/>
    <hyperlink ref="Q28" location="HL_Sheet_Main_16" tooltip="Go to Outputs" display="HL_Sheet_Main_16"/>
    <hyperlink ref="D29" location="HL_Sheet_Main_15" tooltip="Go to Forecast Outputs" display="HL_Sheet_Main_15"/>
    <hyperlink ref="F29" location="HL_Sheet_Main_15" tooltip="Go to Forecast Outputs" display="HL_Sheet_Main_15"/>
    <hyperlink ref="Q29" location="HL_Sheet_Main_15" tooltip="Go to Forecast Outputs" display="HL_Sheet_Main_15"/>
    <hyperlink ref="F30" location="HL_Sheet_Main_17" tooltip="Go to Outputs" display="HL_Sheet_Main_17"/>
    <hyperlink ref="H30" location="HL_Sheet_Main_17" tooltip="Go to Outputs" display="HL_Sheet_Main_17"/>
    <hyperlink ref="Q30" location="HL_Sheet_Main_17" tooltip="Go to Outputs" display="HL_Sheet_Main_17"/>
    <hyperlink ref="H31" location="HL_TOC_21" tooltip="Go to Operational - Outputs" display="HL_TOC_21"/>
    <hyperlink ref="I31" location="HL_TOC_21" tooltip="Go to Operational - Outputs" display="HL_TOC_21"/>
    <hyperlink ref="Q31" location="HL_TOC_21" tooltip="Go to Operational - Outputs" display="HL_TOC_21"/>
    <hyperlink ref="H32" location="HL_TOC_24" tooltip="Go to Working Capital - Outputs" display="HL_TOC_24"/>
    <hyperlink ref="I32" location="HL_TOC_24" tooltip="Go to Working Capital - Outputs" display="HL_TOC_24"/>
    <hyperlink ref="Q32" location="HL_TOC_24" tooltip="Go to Working Capital - Outputs" display="HL_TOC_24"/>
    <hyperlink ref="H33" location="HL_TOC_17" tooltip="Go to Assets - Outputs" display="HL_TOC_17"/>
    <hyperlink ref="I33" location="HL_TOC_17" tooltip="Go to Assets - Outputs" display="HL_TOC_17"/>
    <hyperlink ref="Q33" location="HL_TOC_17" tooltip="Go to Assets - Outputs" display="HL_TOC_17"/>
    <hyperlink ref="H34" location="HL_TOC_15" tooltip="Go to Capital - Outputs" display="HL_TOC_15"/>
    <hyperlink ref="I34" location="HL_TOC_15" tooltip="Go to Capital - Outputs" display="HL_TOC_15"/>
    <hyperlink ref="Q34" location="HL_TOC_15" tooltip="Go to Capital - Outputs" display="HL_TOC_15"/>
    <hyperlink ref="H35" location="HL_TOC_32" tooltip="Go to Taxation - Output Summary" display="HL_TOC_32"/>
    <hyperlink ref="I35" location="HL_TOC_32" tooltip="Go to Taxation - Output Summary" display="HL_TOC_32"/>
    <hyperlink ref="Q35" location="HL_TOC_32" tooltip="Go to Taxation - Output Summary" display="HL_TOC_32"/>
    <hyperlink ref="H36" location="HL_TOC_16" tooltip="Go to Other Balance Sheet Items - Outputs" display="HL_TOC_16"/>
    <hyperlink ref="I36" location="HL_TOC_16" tooltip="Go to Other Balance Sheet Items - Outputs" display="HL_TOC_16"/>
    <hyperlink ref="Q36" location="HL_TOC_16" tooltip="Go to Other Balance Sheet Items - Outputs" display="HL_TOC_16"/>
    <hyperlink ref="D37" location="HL_Sheet_Main_18" tooltip="Go to Financial Statements" display="HL_Sheet_Main_18"/>
    <hyperlink ref="F37" location="HL_Sheet_Main_18" tooltip="Go to Financial Statements" display="HL_Sheet_Main_18"/>
    <hyperlink ref="Q37" location="HL_Sheet_Main_18" tooltip="Go to Financial Statements" display="HL_Sheet_Main_18"/>
    <hyperlink ref="F38" location="HL_Sheet_Main_35" tooltip="Go to Income Statement" display="HL_Sheet_Main_35"/>
    <hyperlink ref="H38" location="HL_Sheet_Main_35" tooltip="Go to Income Statement" display="HL_Sheet_Main_35"/>
    <hyperlink ref="Q38" location="HL_Sheet_Main_35" tooltip="Go to Income Statement" display="HL_Sheet_Main_35"/>
    <hyperlink ref="F39" location="HL_Sheet_Main_36" tooltip="Go to Balance Sheet" display="HL_Sheet_Main_36"/>
    <hyperlink ref="H39" location="HL_Sheet_Main_36" tooltip="Go to Balance Sheet" display="HL_Sheet_Main_36"/>
    <hyperlink ref="Q39" location="HL_Sheet_Main_36" tooltip="Go to Balance Sheet" display="HL_Sheet_Main_36"/>
    <hyperlink ref="F40" location="HL_Sheet_Main_37" tooltip="Go to Cash Flow Statement" display="HL_Sheet_Main_37"/>
    <hyperlink ref="H40" location="HL_Sheet_Main_37" tooltip="Go to Cash Flow Statement" display="HL_Sheet_Main_37"/>
    <hyperlink ref="Q40" location="HL_Sheet_Main_37" tooltip="Go to Cash Flow Statement" display="HL_Sheet_Main_37"/>
    <hyperlink ref="H41" location="HL_TOC_35" tooltip="Go to Direct Cash Flow Statement" display="HL_TOC_35"/>
    <hyperlink ref="I41" location="HL_TOC_35" tooltip="Go to Direct Cash Flow Statement" display="HL_TOC_35"/>
    <hyperlink ref="Q41" location="HL_TOC_35" tooltip="Go to Direct Cash Flow Statement" display="HL_TOC_35"/>
    <hyperlink ref="H42" location="HL_TOC_36" tooltip="Go to Indirect Cash Flow Statement" display="HL_TOC_36"/>
    <hyperlink ref="I42" location="HL_TOC_36" tooltip="Go to Indirect Cash Flow Statement" display="HL_TOC_36"/>
    <hyperlink ref="Q42" location="HL_TOC_36" tooltip="Go to Indirect Cash Flow Statement" display="HL_TOC_36"/>
    <hyperlink ref="H43" location="HL_TOC_14" tooltip="Go to Capital Providers - Cash Flow Reconciliation" display="HL_TOC_14"/>
    <hyperlink ref="I43" location="HL_TOC_14" tooltip="Go to Capital Providers - Cash Flow Reconciliation" display="HL_TOC_14"/>
    <hyperlink ref="Q43" location="HL_TOC_14" tooltip="Go to Capital Providers - Cash Flow Reconciliation" display="HL_TOC_14"/>
    <hyperlink ref="D44" location="HL_Sheet_Main_20" tooltip="Go to Dashboard Outputs" display="HL_Sheet_Main_20"/>
    <hyperlink ref="F44" location="HL_Sheet_Main_20" tooltip="Go to Dashboard Outputs" display="HL_Sheet_Main_20"/>
    <hyperlink ref="Q44" location="HL_Sheet_Main_20" tooltip="Go to Dashboard Outputs" display="HL_Sheet_Main_20"/>
    <hyperlink ref="F45" location="HL_Sheet_Main_19" tooltip="Go to Business Planning Summary" display="HL_Sheet_Main_19"/>
    <hyperlink ref="H45" location="HL_Sheet_Main_19" tooltip="Go to Business Planning Summary" display="HL_Sheet_Main_19"/>
    <hyperlink ref="Q45" location="HL_Sheet_Main_19" tooltip="Go to Business Planning Summary" display="HL_Sheet_Main_19"/>
    <hyperlink ref="B46" location="HL_Sheet_Main_39" tooltip="Go to Appendices" display="HL_Sheet_Main_39"/>
    <hyperlink ref="D46" location="HL_Sheet_Main_39" tooltip="Go to Appendices" display="HL_Sheet_Main_39"/>
    <hyperlink ref="Q46" location="HL_Sheet_Main_39" tooltip="Go to Appendices" display="HL_Sheet_Main_39"/>
    <hyperlink ref="D47" location="HL_Sheet_Main_13" tooltip="Go to Checks" display="HL_Sheet_Main_13"/>
    <hyperlink ref="F47" location="HL_Sheet_Main_13" tooltip="Go to Checks" display="HL_Sheet_Main_13"/>
    <hyperlink ref="Q47" location="HL_Sheet_Main_13" tooltip="Go to Checks" display="HL_Sheet_Main_13"/>
    <hyperlink ref="F48" location="HL_Sheet_Main_14" tooltip="Go to Checks" display="HL_Sheet_Main_14"/>
    <hyperlink ref="H48" location="HL_Sheet_Main_14" tooltip="Go to Checks" display="HL_Sheet_Main_14"/>
    <hyperlink ref="Q48" location="HL_Sheet_Main_14" tooltip="Go to Checks" display="HL_Sheet_Main_14"/>
    <hyperlink ref="H49" location="HL_TOC_6" tooltip="Go to Error Checks" display="HL_TOC_6"/>
    <hyperlink ref="I49" location="HL_TOC_6" tooltip="Go to Error Checks" display="HL_TOC_6"/>
    <hyperlink ref="Q49" location="HL_TOC_6" tooltip="Go to Error Checks" display="HL_TOC_6"/>
    <hyperlink ref="H50" location="HL_TOC_7" tooltip="Go to Sensitivity Checks" display="HL_TOC_7"/>
    <hyperlink ref="I50" location="HL_TOC_7" tooltip="Go to Sensitivity Checks" display="HL_TOC_7"/>
    <hyperlink ref="Q50" location="HL_TOC_7" tooltip="Go to Sensitivity Checks" display="HL_TOC_7"/>
    <hyperlink ref="H51" location="HL_TOC_8" tooltip="Go to Alert Checks" display="HL_TOC_8"/>
    <hyperlink ref="I51" location="HL_TOC_8" tooltip="Go to Alert Checks" display="HL_TOC_8"/>
    <hyperlink ref="Q51" location="HL_TOC_8" tooltip="Go to Alert Checks" display="HL_TOC_8"/>
    <hyperlink ref="D52" location="HL_Sheet_Main_40" tooltip="Go to Lookup Tables" display="HL_Sheet_Main_40"/>
    <hyperlink ref="F52" location="HL_Sheet_Main_40" tooltip="Go to Lookup Tables" display="HL_Sheet_Main_40"/>
    <hyperlink ref="Q52" location="HL_Sheet_Main_40" tooltip="Go to Lookup Tables" display="HL_Sheet_Main_40"/>
    <hyperlink ref="F53" location="HL_Sheet_Main_9" tooltip="Go to Time Series Lookup Tables" display="HL_Sheet_Main_9"/>
    <hyperlink ref="H53" location="HL_Sheet_Main_9" tooltip="Go to Time Series Lookup Tables" display="HL_Sheet_Main_9"/>
    <hyperlink ref="Q53" location="HL_Sheet_Main_9" tooltip="Go to Time Series Lookup Tables" display="HL_Sheet_Main_9"/>
    <hyperlink ref="F54" location="HL_Sheet_Main_42" tooltip="Go to Capital - Lookup Tables" display="HL_Sheet_Main_42"/>
    <hyperlink ref="H54" location="HL_Sheet_Main_42" tooltip="Go to Capital - Lookup Tables" display="HL_Sheet_Main_42"/>
    <hyperlink ref="Q54" location="HL_Sheet_Main_42" tooltip="Go to Capital - Lookup Tables" display="HL_Sheet_Main_42"/>
    <hyperlink ref="F55" location="HL_Sheet_Main_27" tooltip="Go to Dashboards - Lookup Tables" display="HL_Sheet_Main_27"/>
    <hyperlink ref="H55" location="HL_Sheet_Main_27" tooltip="Go to Dashboards - Lookup Tables" display="HL_Sheet_Main_27"/>
    <hyperlink ref="Q55" location="HL_Sheet_Main_27" tooltip="Go to Dashboards - Lookup Tables" display="HL_Sheet_Main_27"/>
    <hyperlink ref="A6" location="$B$7" tooltip="Go to Top of Sheet" display="$B$7"/>
    <hyperlink ref="B3" location="'Cover'!A1" tooltip="Go to Cover Sheet" display="'Cover'!A1"/>
  </hyperlinks>
  <pageMargins left="0.39370078740157499" right="0.39370078740157499" top="0.59055118110236204" bottom="0.98425196850393704" header="0" footer="0.31496062992126"/>
  <pageSetup paperSize="9" orientation="landscape" r:id="rId1"/>
</worksheet>
</file>

<file path=xl/worksheets/sheet20.xml><?xml version="1.0" encoding="utf-8"?>
<worksheet xmlns="http://schemas.openxmlformats.org/spreadsheetml/2006/main" xmlns:r="http://schemas.openxmlformats.org/officeDocument/2006/relationships">
  <sheetPr codeName="Sheet19">
    <pageSetUpPr autoPageBreaks="0"/>
  </sheetPr>
  <dimension ref="A1:Q117"/>
  <sheetViews>
    <sheetView showGridLines="0" zoomScaleNormal="100" workbookViewId="0">
      <pane xSplit="1" ySplit="13" topLeftCell="B14" activePane="bottomRight" state="frozen"/>
      <selection activeCell="Q57" sqref="Q57"/>
      <selection pane="topRight" activeCell="Q57" sqref="Q57"/>
      <selection pane="bottomLeft" activeCell="Q57" sqref="Q57"/>
      <selection pane="bottomRight"/>
    </sheetView>
  </sheetViews>
  <sheetFormatPr defaultRowHeight="10.5" outlineLevelRow="2"/>
  <cols>
    <col min="1" max="5" width="3.83203125" customWidth="1"/>
    <col min="6" max="254" width="11.83203125" customWidth="1"/>
  </cols>
  <sheetData>
    <row r="1" spans="1:17" ht="18">
      <c r="B1" s="1" t="s">
        <v>46</v>
      </c>
    </row>
    <row r="2" spans="1:17" ht="15">
      <c r="B2" s="2" t="str">
        <f>Model_Name</f>
        <v>SMA 8. Calculation Formulae - Best Practice Model Example</v>
      </c>
    </row>
    <row r="3" spans="1:17">
      <c r="B3" s="245" t="s">
        <v>49</v>
      </c>
      <c r="C3" s="245"/>
      <c r="D3" s="245"/>
      <c r="E3" s="245"/>
      <c r="F3" s="245"/>
    </row>
    <row r="4" spans="1:17" ht="12.75">
      <c r="A4" s="11" t="s">
        <v>52</v>
      </c>
      <c r="B4" s="12" t="s">
        <v>54</v>
      </c>
      <c r="C4" s="13" t="s">
        <v>103</v>
      </c>
      <c r="D4" s="238" t="s">
        <v>206</v>
      </c>
      <c r="E4" s="238" t="s">
        <v>207</v>
      </c>
      <c r="F4" s="14" t="s">
        <v>208</v>
      </c>
    </row>
    <row r="6" spans="1:17">
      <c r="B6" s="89" t="str">
        <f>IF(TS_Pers_In_Yr=1,"",TS_Per_Type_Name&amp;" Ending")</f>
        <v/>
      </c>
      <c r="J6" s="90" t="str">
        <f t="shared" ref="J6:Q6" si="0">IF(TS_Pers_In_Yr=1,"",LEFT(INDEX(LU_Mth_Names,MONTH(J9)),3)&amp;"-"&amp;RIGHT(YEAR(J9),2))&amp;" "</f>
        <v xml:space="preserve"> </v>
      </c>
      <c r="K6" s="90" t="str">
        <f t="shared" si="0"/>
        <v xml:space="preserve"> </v>
      </c>
      <c r="L6" s="90" t="str">
        <f t="shared" si="0"/>
        <v xml:space="preserve"> </v>
      </c>
      <c r="M6" s="90" t="str">
        <f t="shared" si="0"/>
        <v xml:space="preserve"> </v>
      </c>
      <c r="N6" s="90" t="str">
        <f t="shared" si="0"/>
        <v xml:space="preserve"> </v>
      </c>
      <c r="O6" s="90" t="str">
        <f t="shared" si="0"/>
        <v xml:space="preserve"> </v>
      </c>
      <c r="P6" s="90" t="str">
        <f t="shared" si="0"/>
        <v xml:space="preserve"> </v>
      </c>
      <c r="Q6" s="90" t="str">
        <f t="shared" si="0"/>
        <v xml:space="preserve"> </v>
      </c>
    </row>
    <row r="7" spans="1:17">
      <c r="B7" s="95" t="str">
        <f>IF(TS_Pers_In_Yr=1,Yr_Name&amp;" Ending "&amp;DAY(TS_Per_1_End_Date)&amp;" "&amp;INDEX(LU_Mth_Names,DD_TS_Fin_YE_Mth),TS_Per_Type_Name)</f>
        <v>Year Ending 31 December</v>
      </c>
      <c r="C7" s="18"/>
      <c r="D7" s="18"/>
      <c r="E7" s="18"/>
      <c r="F7" s="18"/>
      <c r="G7" s="18"/>
      <c r="H7" s="18"/>
      <c r="I7" s="18"/>
      <c r="J7" s="96" t="str">
        <f t="shared" ref="J7:Q7" si="1">IF(TS_Pers_In_Yr=1,J10&amp;" ",J11)&amp;IF(CB_TS_Show_Hist_Fcast_Pers,IF(J12&lt;=TS_Actual_Pers,TS_Actual_Per_Title,
IF(J12&lt;=TS_Actual_Pers+TS_Budget_Pers,TS_Budget_Per_Title,TS_Fcast_Per_Title))&amp;" ","")</f>
        <v xml:space="preserve">2010 (F) </v>
      </c>
      <c r="K7" s="96" t="str">
        <f t="shared" si="1"/>
        <v xml:space="preserve">2011 (F) </v>
      </c>
      <c r="L7" s="96" t="str">
        <f t="shared" si="1"/>
        <v xml:space="preserve">2012 (F) </v>
      </c>
      <c r="M7" s="96" t="str">
        <f t="shared" si="1"/>
        <v xml:space="preserve">2013 (F) </v>
      </c>
      <c r="N7" s="96" t="str">
        <f t="shared" si="1"/>
        <v xml:space="preserve">2014 (F) </v>
      </c>
      <c r="O7" s="96" t="str">
        <f t="shared" si="1"/>
        <v xml:space="preserve">2015 (F) </v>
      </c>
      <c r="P7" s="96" t="str">
        <f t="shared" si="1"/>
        <v xml:space="preserve">2016 (F) </v>
      </c>
      <c r="Q7" s="96" t="str">
        <f t="shared" si="1"/>
        <v xml:space="preserve">2017 (F) </v>
      </c>
    </row>
    <row r="8" spans="1:17" hidden="1" outlineLevel="2">
      <c r="B8" s="27" t="s">
        <v>223</v>
      </c>
      <c r="J8" s="91">
        <f t="shared" ref="J8:Q8" si="2">IF(J12=1,TS_Start_Date,I9+1)</f>
        <v>40179</v>
      </c>
      <c r="K8" s="91">
        <f t="shared" si="2"/>
        <v>40544</v>
      </c>
      <c r="L8" s="91">
        <f t="shared" si="2"/>
        <v>40909</v>
      </c>
      <c r="M8" s="91">
        <f t="shared" si="2"/>
        <v>41275</v>
      </c>
      <c r="N8" s="91">
        <f t="shared" si="2"/>
        <v>41640</v>
      </c>
      <c r="O8" s="91">
        <f t="shared" si="2"/>
        <v>42005</v>
      </c>
      <c r="P8" s="91">
        <f t="shared" si="2"/>
        <v>42370</v>
      </c>
      <c r="Q8" s="91">
        <f t="shared" si="2"/>
        <v>42736</v>
      </c>
    </row>
    <row r="9" spans="1:17" hidden="1" outlineLevel="2">
      <c r="B9" s="27" t="s">
        <v>224</v>
      </c>
      <c r="J9" s="91">
        <f t="shared" ref="J9:Q9" si="3">IF(J12=1,TS_Per_1_End_Date,
IF(TS_Mth_End,EOMONTH(EDATE(TS_Per_1_FY_Start_Date,(TS_Per_1_Number+J12-1)*TS_Mths_In_Per-1),0),
EDATE(TS_Per_1_FY_Start_Date,(TS_Per_1_Number+J12-1)*TS_Mths_In_Per)-1))</f>
        <v>40543</v>
      </c>
      <c r="K9" s="91">
        <f t="shared" si="3"/>
        <v>40908</v>
      </c>
      <c r="L9" s="91">
        <f t="shared" si="3"/>
        <v>41274</v>
      </c>
      <c r="M9" s="91">
        <f t="shared" si="3"/>
        <v>41639</v>
      </c>
      <c r="N9" s="91">
        <f t="shared" si="3"/>
        <v>42004</v>
      </c>
      <c r="O9" s="91">
        <f t="shared" si="3"/>
        <v>42369</v>
      </c>
      <c r="P9" s="91">
        <f t="shared" si="3"/>
        <v>42735</v>
      </c>
      <c r="Q9" s="91">
        <f t="shared" si="3"/>
        <v>43100</v>
      </c>
    </row>
    <row r="10" spans="1:17" hidden="1" outlineLevel="2">
      <c r="B10" s="27" t="s">
        <v>221</v>
      </c>
      <c r="J10" s="92">
        <f t="shared" ref="J10:Q10" si="4">YEAR(TS_Per_1_FY_End_Date)+INT((TS_Per_1_Number+J12-2)/TS_Pers_In_Yr)</f>
        <v>2010</v>
      </c>
      <c r="K10" s="92">
        <f t="shared" si="4"/>
        <v>2011</v>
      </c>
      <c r="L10" s="92">
        <f t="shared" si="4"/>
        <v>2012</v>
      </c>
      <c r="M10" s="92">
        <f t="shared" si="4"/>
        <v>2013</v>
      </c>
      <c r="N10" s="92">
        <f t="shared" si="4"/>
        <v>2014</v>
      </c>
      <c r="O10" s="92">
        <f t="shared" si="4"/>
        <v>2015</v>
      </c>
      <c r="P10" s="92">
        <f t="shared" si="4"/>
        <v>2016</v>
      </c>
      <c r="Q10" s="92">
        <f t="shared" si="4"/>
        <v>2017</v>
      </c>
    </row>
    <row r="11" spans="1:17" hidden="1" outlineLevel="2">
      <c r="B11" s="27" t="s">
        <v>222</v>
      </c>
      <c r="J11" s="93" t="str">
        <f t="shared" ref="J11:Q11" si="5">IF(TS_Pers_In_Yr=1,Yr_Name,TS_Per_Type_Prefix&amp;IF(MOD(TS_Per_1_Number+J12-1,TS_Pers_In_Yr)=0,TS_Pers_In_Yr,MOD(TS_Per_1_Number+J12-1,TS_Pers_In_Yr)))&amp;" "</f>
        <v xml:space="preserve">Year </v>
      </c>
      <c r="K11" s="93" t="str">
        <f t="shared" si="5"/>
        <v xml:space="preserve">Year </v>
      </c>
      <c r="L11" s="93" t="str">
        <f t="shared" si="5"/>
        <v xml:space="preserve">Year </v>
      </c>
      <c r="M11" s="93" t="str">
        <f t="shared" si="5"/>
        <v xml:space="preserve">Year </v>
      </c>
      <c r="N11" s="93" t="str">
        <f t="shared" si="5"/>
        <v xml:space="preserve">Year </v>
      </c>
      <c r="O11" s="93" t="str">
        <f t="shared" si="5"/>
        <v xml:space="preserve">Year </v>
      </c>
      <c r="P11" s="93" t="str">
        <f t="shared" si="5"/>
        <v xml:space="preserve">Year </v>
      </c>
      <c r="Q11" s="93" t="str">
        <f t="shared" si="5"/>
        <v xml:space="preserve">Year </v>
      </c>
    </row>
    <row r="12" spans="1:17" hidden="1" outlineLevel="2">
      <c r="B12" s="27" t="s">
        <v>225</v>
      </c>
      <c r="J12" s="94">
        <f>COLUMN(J12)-COLUMN($J12)+1</f>
        <v>1</v>
      </c>
      <c r="K12" s="94">
        <f t="shared" ref="K12:Q12" si="6">COLUMN(K12)-COLUMN($J12)+1</f>
        <v>2</v>
      </c>
      <c r="L12" s="94">
        <f t="shared" si="6"/>
        <v>3</v>
      </c>
      <c r="M12" s="94">
        <f t="shared" si="6"/>
        <v>4</v>
      </c>
      <c r="N12" s="94">
        <f t="shared" si="6"/>
        <v>5</v>
      </c>
      <c r="O12" s="94">
        <f t="shared" si="6"/>
        <v>6</v>
      </c>
      <c r="P12" s="94">
        <f t="shared" si="6"/>
        <v>7</v>
      </c>
      <c r="Q12" s="94">
        <f t="shared" si="6"/>
        <v>8</v>
      </c>
    </row>
    <row r="13" spans="1:17" hidden="1" outlineLevel="2">
      <c r="B13" s="97" t="s">
        <v>388</v>
      </c>
      <c r="C13" s="18"/>
      <c r="D13" s="18"/>
      <c r="E13" s="18"/>
      <c r="F13" s="18"/>
      <c r="G13" s="18"/>
      <c r="H13" s="18"/>
      <c r="I13" s="18"/>
      <c r="J13" s="98" t="str">
        <f>J10&amp;"-"&amp;J11</f>
        <v xml:space="preserve">2010-Year </v>
      </c>
      <c r="K13" s="98" t="str">
        <f t="shared" ref="K13:Q13" si="7">K10&amp;"-"&amp;K11</f>
        <v xml:space="preserve">2011-Year </v>
      </c>
      <c r="L13" s="98" t="str">
        <f t="shared" si="7"/>
        <v xml:space="preserve">2012-Year </v>
      </c>
      <c r="M13" s="98" t="str">
        <f t="shared" si="7"/>
        <v xml:space="preserve">2013-Year </v>
      </c>
      <c r="N13" s="98" t="str">
        <f t="shared" si="7"/>
        <v xml:space="preserve">2014-Year </v>
      </c>
      <c r="O13" s="98" t="str">
        <f t="shared" si="7"/>
        <v xml:space="preserve">2015-Year </v>
      </c>
      <c r="P13" s="98" t="str">
        <f t="shared" si="7"/>
        <v xml:space="preserve">2016-Year </v>
      </c>
      <c r="Q13" s="98" t="str">
        <f t="shared" si="7"/>
        <v xml:space="preserve">2017-Year </v>
      </c>
    </row>
    <row r="14" spans="1:17" collapsed="1"/>
    <row r="16" spans="1:17" ht="12.75">
      <c r="B16" s="126" t="s">
        <v>428</v>
      </c>
    </row>
    <row r="18" spans="3:17" ht="11.25">
      <c r="C18" s="99" t="s">
        <v>16</v>
      </c>
    </row>
    <row r="20" spans="3:17" hidden="1" outlineLevel="2">
      <c r="E20" s="5" t="str">
        <f>Fcast_TO!C18</f>
        <v>Revenue</v>
      </c>
      <c r="J20" s="100">
        <f>Fcast_TO!J18</f>
        <v>125</v>
      </c>
      <c r="K20" s="100">
        <f>Fcast_TO!K18</f>
        <v>128.125</v>
      </c>
      <c r="L20" s="100">
        <f>Fcast_TO!L18</f>
        <v>131.328125</v>
      </c>
      <c r="M20" s="100">
        <f>Fcast_TO!M18</f>
        <v>134.611328125</v>
      </c>
      <c r="N20" s="100">
        <f>Fcast_TO!N18</f>
        <v>137.97661132812499</v>
      </c>
      <c r="O20" s="100">
        <f>Fcast_TO!O18</f>
        <v>141.4260266113281</v>
      </c>
      <c r="P20" s="100">
        <f>Fcast_TO!P18</f>
        <v>144.96167727661128</v>
      </c>
      <c r="Q20" s="100">
        <f>Fcast_TO!Q18</f>
        <v>148.58571920852654</v>
      </c>
    </row>
    <row r="21" spans="3:17" hidden="1" outlineLevel="2">
      <c r="E21" s="114" t="s">
        <v>424</v>
      </c>
      <c r="J21" s="129">
        <f>-Fcast_TO!J32</f>
        <v>10.726027397260282</v>
      </c>
      <c r="K21" s="129">
        <f>-Fcast_TO!K32</f>
        <v>-0.25684931506850717</v>
      </c>
      <c r="L21" s="129">
        <f>-Fcast_TO!L32</f>
        <v>-0.23377849202785228</v>
      </c>
      <c r="M21" s="129">
        <f>-Fcast_TO!M32</f>
        <v>-0.29934436756118998</v>
      </c>
      <c r="N21" s="129">
        <f>-Fcast_TO!N32</f>
        <v>-0.27659861943493524</v>
      </c>
      <c r="O21" s="129">
        <f>-Fcast_TO!O32</f>
        <v>-0.28351358492079726</v>
      </c>
      <c r="P21" s="129">
        <f>-Fcast_TO!P32</f>
        <v>-0.25804771305121221</v>
      </c>
      <c r="Q21" s="129">
        <f>-Fcast_TO!Q32</f>
        <v>-0.3304201716500188</v>
      </c>
    </row>
    <row r="22" spans="3:17" collapsed="1">
      <c r="D22" s="178" t="s">
        <v>240</v>
      </c>
      <c r="J22" s="100">
        <f>J20+J21</f>
        <v>135.72602739726028</v>
      </c>
      <c r="K22" s="100">
        <f t="shared" ref="K22:Q22" si="8">K20+K21</f>
        <v>127.86815068493149</v>
      </c>
      <c r="L22" s="100">
        <f t="shared" si="8"/>
        <v>131.09434650797215</v>
      </c>
      <c r="M22" s="100">
        <f t="shared" si="8"/>
        <v>134.31198375743881</v>
      </c>
      <c r="N22" s="100">
        <f t="shared" si="8"/>
        <v>137.70001270869005</v>
      </c>
      <c r="O22" s="100">
        <f t="shared" si="8"/>
        <v>141.1425130264073</v>
      </c>
      <c r="P22" s="100">
        <f t="shared" si="8"/>
        <v>144.70362956356007</v>
      </c>
      <c r="Q22" s="100">
        <f t="shared" si="8"/>
        <v>148.25529903687652</v>
      </c>
    </row>
    <row r="23" spans="3:17" hidden="1" outlineLevel="2">
      <c r="D23" s="5"/>
      <c r="E23" s="5" t="str">
        <f>Fcast_TO!C19</f>
        <v>Cost of Goods Sold</v>
      </c>
      <c r="J23" s="100">
        <f>-Fcast_TO!J19</f>
        <v>-25</v>
      </c>
      <c r="K23" s="100">
        <f>-Fcast_TO!K19</f>
        <v>-25.624999999999996</v>
      </c>
      <c r="L23" s="100">
        <f>-Fcast_TO!L19</f>
        <v>-26.265624999999993</v>
      </c>
      <c r="M23" s="100">
        <f>-Fcast_TO!M19</f>
        <v>-26.922265624999991</v>
      </c>
      <c r="N23" s="100">
        <f>-Fcast_TO!N19</f>
        <v>-27.59532226562499</v>
      </c>
      <c r="O23" s="100">
        <f>-Fcast_TO!O19</f>
        <v>-28.285205322265611</v>
      </c>
      <c r="P23" s="100">
        <f>-Fcast_TO!P19</f>
        <v>-28.992335455322248</v>
      </c>
      <c r="Q23" s="100">
        <f>-Fcast_TO!Q19</f>
        <v>-29.717143841705301</v>
      </c>
    </row>
    <row r="24" spans="3:17" s="16" customFormat="1" hidden="1" outlineLevel="2">
      <c r="D24" s="5"/>
      <c r="E24" s="5" t="str">
        <f>Fcast_TO!C20</f>
        <v>Operating Expenditure</v>
      </c>
      <c r="J24" s="100">
        <f>-Fcast_TO!J20</f>
        <v>-40</v>
      </c>
      <c r="K24" s="100">
        <f>-Fcast_TO!K20</f>
        <v>-41</v>
      </c>
      <c r="L24" s="100">
        <f>-Fcast_TO!L20</f>
        <v>-42.024999999999999</v>
      </c>
      <c r="M24" s="100">
        <f>-Fcast_TO!M20</f>
        <v>-43.075624999999995</v>
      </c>
      <c r="N24" s="100">
        <f>-Fcast_TO!N20</f>
        <v>-44.152515624999992</v>
      </c>
      <c r="O24" s="100">
        <f>-Fcast_TO!O20</f>
        <v>-45.256328515624986</v>
      </c>
      <c r="P24" s="100">
        <f>-Fcast_TO!P20</f>
        <v>-46.387736728515605</v>
      </c>
      <c r="Q24" s="100">
        <f>-Fcast_TO!Q20</f>
        <v>-47.547430146728495</v>
      </c>
    </row>
    <row r="25" spans="3:17" hidden="1" outlineLevel="2">
      <c r="D25" s="5"/>
      <c r="E25" s="114" t="s">
        <v>425</v>
      </c>
      <c r="J25" s="129">
        <f>Fcast_TO!J49</f>
        <v>-7.9863013698630141</v>
      </c>
      <c r="K25" s="129">
        <f>Fcast_TO!K49</f>
        <v>0.20034246575342252</v>
      </c>
      <c r="L25" s="129">
        <f>Fcast_TO!L49</f>
        <v>0.18234722378171853</v>
      </c>
      <c r="M25" s="129">
        <f>Fcast_TO!M49</f>
        <v>0.2334886066977333</v>
      </c>
      <c r="N25" s="129">
        <f>Fcast_TO!N49</f>
        <v>0.21574692315924437</v>
      </c>
      <c r="O25" s="129">
        <f>Fcast_TO!O49</f>
        <v>0.22114059623822868</v>
      </c>
      <c r="P25" s="129">
        <f>Fcast_TO!P49</f>
        <v>0.20127721617994609</v>
      </c>
      <c r="Q25" s="129">
        <f>Fcast_TO!Q49</f>
        <v>0.25772773388702319</v>
      </c>
    </row>
    <row r="26" spans="3:17" collapsed="1">
      <c r="D26" s="178" t="s">
        <v>245</v>
      </c>
      <c r="J26" s="100">
        <f>SUM(J23:J25)</f>
        <v>-72.986301369863014</v>
      </c>
      <c r="K26" s="100">
        <f t="shared" ref="K26:Q26" si="9">SUM(K23:K25)</f>
        <v>-66.424657534246577</v>
      </c>
      <c r="L26" s="100">
        <f t="shared" si="9"/>
        <v>-68.108277776218273</v>
      </c>
      <c r="M26" s="100">
        <f t="shared" si="9"/>
        <v>-69.764402018302249</v>
      </c>
      <c r="N26" s="100">
        <f t="shared" si="9"/>
        <v>-71.532090967465734</v>
      </c>
      <c r="O26" s="100">
        <f t="shared" si="9"/>
        <v>-73.320393241652368</v>
      </c>
      <c r="P26" s="100">
        <f t="shared" si="9"/>
        <v>-75.178794967657907</v>
      </c>
      <c r="Q26" s="100">
        <f t="shared" si="9"/>
        <v>-77.006846254546772</v>
      </c>
    </row>
    <row r="27" spans="3:17">
      <c r="D27" s="5" t="str">
        <f>Fcast_TO!E114</f>
        <v>Interest Paid</v>
      </c>
      <c r="J27" s="100">
        <f>Fcast_TO!J114</f>
        <v>-3.25</v>
      </c>
      <c r="K27" s="100">
        <f>Fcast_TO!K114</f>
        <v>-3.25</v>
      </c>
      <c r="L27" s="100">
        <f>Fcast_TO!L114</f>
        <v>-3.25</v>
      </c>
      <c r="M27" s="100">
        <f>Fcast_TO!M114</f>
        <v>-3.25</v>
      </c>
      <c r="N27" s="100">
        <f>Fcast_TO!N114</f>
        <v>-3.4125000000000001</v>
      </c>
      <c r="O27" s="100">
        <f>Fcast_TO!O114</f>
        <v>-3.5750000000000002</v>
      </c>
      <c r="P27" s="100">
        <f>Fcast_TO!P114</f>
        <v>-3.5750000000000002</v>
      </c>
      <c r="Q27" s="100">
        <f>Fcast_TO!Q114</f>
        <v>-3.5750000000000002</v>
      </c>
    </row>
    <row r="28" spans="3:17">
      <c r="D28" s="5" t="str">
        <f>Fcast_TO!D179</f>
        <v>Tax Paid</v>
      </c>
      <c r="J28" s="100">
        <f>Fcast_TO!J179</f>
        <v>-3.5</v>
      </c>
      <c r="K28" s="100">
        <f>Fcast_TO!K179</f>
        <v>-12.7875</v>
      </c>
      <c r="L28" s="100">
        <f>Fcast_TO!L179</f>
        <v>-13.131562499999999</v>
      </c>
      <c r="M28" s="100">
        <f>Fcast_TO!M179</f>
        <v>-13.4842265625</v>
      </c>
      <c r="N28" s="100">
        <f>Fcast_TO!N179</f>
        <v>-13.845707226562503</v>
      </c>
      <c r="O28" s="100">
        <f>Fcast_TO!O179</f>
        <v>-14.167474907226566</v>
      </c>
      <c r="P28" s="100">
        <f>Fcast_TO!P179</f>
        <v>-14.498505529907227</v>
      </c>
      <c r="Q28" s="100">
        <f>Fcast_TO!Q179</f>
        <v>-14.887780668154907</v>
      </c>
    </row>
    <row r="29" spans="3:17" s="16" customFormat="1">
      <c r="D29" s="178" t="s">
        <v>506</v>
      </c>
      <c r="J29" s="100">
        <f>-Fcast_TO!J188</f>
        <v>-1</v>
      </c>
      <c r="K29" s="100">
        <f>-Fcast_TO!K188</f>
        <v>-1</v>
      </c>
      <c r="L29" s="100">
        <f>-Fcast_TO!L188</f>
        <v>-1</v>
      </c>
      <c r="M29" s="100">
        <f>-Fcast_TO!M188</f>
        <v>-1</v>
      </c>
      <c r="N29" s="100">
        <f>-Fcast_TO!N188</f>
        <v>-1</v>
      </c>
      <c r="O29" s="100">
        <f>-Fcast_TO!O188</f>
        <v>-1</v>
      </c>
      <c r="P29" s="100">
        <f>-Fcast_TO!P188</f>
        <v>-1</v>
      </c>
      <c r="Q29" s="100">
        <f>-Fcast_TO!Q188</f>
        <v>-1</v>
      </c>
    </row>
    <row r="30" spans="3:17" s="16" customFormat="1">
      <c r="D30" s="178" t="s">
        <v>507</v>
      </c>
      <c r="J30" s="100">
        <f>Fcast_TO!J194</f>
        <v>1</v>
      </c>
      <c r="K30" s="100">
        <f>Fcast_TO!K194</f>
        <v>1</v>
      </c>
      <c r="L30" s="100">
        <f>Fcast_TO!L194</f>
        <v>1</v>
      </c>
      <c r="M30" s="100">
        <f>Fcast_TO!M194</f>
        <v>1</v>
      </c>
      <c r="N30" s="100">
        <f>Fcast_TO!N194</f>
        <v>1</v>
      </c>
      <c r="O30" s="100">
        <f>Fcast_TO!O194</f>
        <v>1</v>
      </c>
      <c r="P30" s="100">
        <f>Fcast_TO!P194</f>
        <v>1</v>
      </c>
      <c r="Q30" s="100">
        <f>Fcast_TO!Q194</f>
        <v>1</v>
      </c>
    </row>
    <row r="31" spans="3:17">
      <c r="D31" s="143" t="str">
        <f>"Net "&amp;C18</f>
        <v>Net Cash Flow from Operating Activities</v>
      </c>
      <c r="J31" s="147">
        <f>J22+J26+SUM(J27:J30)</f>
        <v>55.989726027397268</v>
      </c>
      <c r="K31" s="147">
        <f t="shared" ref="K31:Q31" si="10">K22+K26+SUM(K27:K30)</f>
        <v>45.405993150684914</v>
      </c>
      <c r="L31" s="147">
        <f t="shared" si="10"/>
        <v>46.604506231753874</v>
      </c>
      <c r="M31" s="147">
        <f t="shared" si="10"/>
        <v>47.813355176636563</v>
      </c>
      <c r="N31" s="147">
        <f t="shared" si="10"/>
        <v>48.909714514661815</v>
      </c>
      <c r="O31" s="147">
        <f t="shared" si="10"/>
        <v>50.079644877528366</v>
      </c>
      <c r="P31" s="147">
        <f t="shared" si="10"/>
        <v>51.45132906599494</v>
      </c>
      <c r="Q31" s="147">
        <f t="shared" si="10"/>
        <v>52.785672114174844</v>
      </c>
    </row>
    <row r="32" spans="3:17">
      <c r="J32" s="100"/>
      <c r="K32" s="100"/>
      <c r="L32" s="100"/>
      <c r="M32" s="100"/>
      <c r="N32" s="100"/>
      <c r="O32" s="100"/>
      <c r="P32" s="100"/>
      <c r="Q32" s="100"/>
    </row>
    <row r="33" spans="3:17" ht="11.25">
      <c r="C33" s="99" t="s">
        <v>17</v>
      </c>
      <c r="J33" s="100"/>
      <c r="K33" s="100"/>
      <c r="L33" s="100"/>
      <c r="M33" s="100"/>
      <c r="N33" s="100"/>
      <c r="O33" s="100"/>
      <c r="P33" s="100"/>
      <c r="Q33" s="100"/>
    </row>
    <row r="34" spans="3:17">
      <c r="J34" s="100"/>
      <c r="K34" s="100"/>
      <c r="L34" s="100"/>
      <c r="M34" s="100"/>
      <c r="N34" s="100"/>
      <c r="O34" s="100"/>
      <c r="P34" s="100"/>
      <c r="Q34" s="100"/>
    </row>
    <row r="35" spans="3:17">
      <c r="D35" s="5" t="str">
        <f>Fcast_TO!C21</f>
        <v>Capital Expenditure - Assets</v>
      </c>
      <c r="J35" s="100">
        <f>-Fcast_TO!J21</f>
        <v>-15</v>
      </c>
      <c r="K35" s="100">
        <f>-Fcast_TO!K21</f>
        <v>-15.374999999999998</v>
      </c>
      <c r="L35" s="100">
        <f>-Fcast_TO!L21</f>
        <v>-15.759374999999997</v>
      </c>
      <c r="M35" s="100">
        <f>-Fcast_TO!M21</f>
        <v>-16.153359374999994</v>
      </c>
      <c r="N35" s="100">
        <f>-Fcast_TO!N21</f>
        <v>-16.557193359374992</v>
      </c>
      <c r="O35" s="100">
        <f>-Fcast_TO!O21</f>
        <v>-16.971123193359364</v>
      </c>
      <c r="P35" s="100">
        <f>-Fcast_TO!P21</f>
        <v>-17.395401273193347</v>
      </c>
      <c r="Q35" s="100">
        <f>-Fcast_TO!Q21</f>
        <v>-17.830286305023179</v>
      </c>
    </row>
    <row r="36" spans="3:17">
      <c r="D36" s="5" t="str">
        <f>Fcast_TO!C22</f>
        <v>Capital Expenditure - Intangibles</v>
      </c>
      <c r="J36" s="100">
        <f>-Fcast_TO!J22</f>
        <v>-2.5</v>
      </c>
      <c r="K36" s="100">
        <f>-Fcast_TO!K22</f>
        <v>-2.5625</v>
      </c>
      <c r="L36" s="100">
        <f>-Fcast_TO!L22</f>
        <v>-2.6265624999999999</v>
      </c>
      <c r="M36" s="100">
        <f>-Fcast_TO!M22</f>
        <v>-2.6922265624999997</v>
      </c>
      <c r="N36" s="100">
        <f>-Fcast_TO!N22</f>
        <v>-2.7595322265624995</v>
      </c>
      <c r="O36" s="100">
        <f>-Fcast_TO!O22</f>
        <v>-2.8285205322265616</v>
      </c>
      <c r="P36" s="100">
        <f>-Fcast_TO!P22</f>
        <v>-2.8992335455322253</v>
      </c>
      <c r="Q36" s="100">
        <f>-Fcast_TO!Q22</f>
        <v>-2.9717143841705309</v>
      </c>
    </row>
    <row r="37" spans="3:17" s="16" customFormat="1">
      <c r="D37" s="175" t="s">
        <v>508</v>
      </c>
      <c r="J37" s="100">
        <f>-Fcast_TO!J200</f>
        <v>-1</v>
      </c>
      <c r="K37" s="100">
        <f>-Fcast_TO!K200</f>
        <v>-1</v>
      </c>
      <c r="L37" s="100">
        <f>-Fcast_TO!L200</f>
        <v>-1</v>
      </c>
      <c r="M37" s="100">
        <f>-Fcast_TO!M200</f>
        <v>-1</v>
      </c>
      <c r="N37" s="100">
        <f>-Fcast_TO!N200</f>
        <v>-1</v>
      </c>
      <c r="O37" s="100">
        <f>-Fcast_TO!O200</f>
        <v>-1</v>
      </c>
      <c r="P37" s="100">
        <f>-Fcast_TO!P200</f>
        <v>-1</v>
      </c>
      <c r="Q37" s="100">
        <f>-Fcast_TO!Q200</f>
        <v>-1</v>
      </c>
    </row>
    <row r="38" spans="3:17" s="16" customFormat="1">
      <c r="D38" s="175" t="s">
        <v>509</v>
      </c>
      <c r="J38" s="100">
        <f>Fcast_TO!J206</f>
        <v>1</v>
      </c>
      <c r="K38" s="100">
        <f>Fcast_TO!K206</f>
        <v>1</v>
      </c>
      <c r="L38" s="100">
        <f>Fcast_TO!L206</f>
        <v>1</v>
      </c>
      <c r="M38" s="100">
        <f>Fcast_TO!M206</f>
        <v>1</v>
      </c>
      <c r="N38" s="100">
        <f>Fcast_TO!N206</f>
        <v>1</v>
      </c>
      <c r="O38" s="100">
        <f>Fcast_TO!O206</f>
        <v>1</v>
      </c>
      <c r="P38" s="100">
        <f>Fcast_TO!P206</f>
        <v>1</v>
      </c>
      <c r="Q38" s="100">
        <f>Fcast_TO!Q206</f>
        <v>1</v>
      </c>
    </row>
    <row r="39" spans="3:17">
      <c r="D39" s="143" t="str">
        <f>"Net "&amp;C33</f>
        <v>Net Cash Flow from Investing Activities</v>
      </c>
      <c r="J39" s="147">
        <f>SUM(J35:J38)</f>
        <v>-17.5</v>
      </c>
      <c r="K39" s="147">
        <f t="shared" ref="K39:Q39" si="11">SUM(K35:K38)</f>
        <v>-17.9375</v>
      </c>
      <c r="L39" s="147">
        <f t="shared" si="11"/>
        <v>-18.385937499999997</v>
      </c>
      <c r="M39" s="147">
        <f t="shared" si="11"/>
        <v>-18.845585937499994</v>
      </c>
      <c r="N39" s="147">
        <f t="shared" si="11"/>
        <v>-19.31672558593749</v>
      </c>
      <c r="O39" s="147">
        <f t="shared" si="11"/>
        <v>-19.799643725585927</v>
      </c>
      <c r="P39" s="147">
        <f t="shared" si="11"/>
        <v>-20.294634818725573</v>
      </c>
      <c r="Q39" s="147">
        <f t="shared" si="11"/>
        <v>-20.802000689193711</v>
      </c>
    </row>
    <row r="40" spans="3:17">
      <c r="J40" s="100"/>
      <c r="K40" s="100"/>
      <c r="L40" s="100"/>
      <c r="M40" s="100"/>
      <c r="N40" s="100"/>
      <c r="O40" s="100"/>
      <c r="P40" s="100"/>
      <c r="Q40" s="100"/>
    </row>
    <row r="41" spans="3:17" ht="11.25">
      <c r="C41" s="99" t="s">
        <v>18</v>
      </c>
      <c r="J41" s="100"/>
      <c r="K41" s="100"/>
      <c r="L41" s="100"/>
      <c r="M41" s="100"/>
      <c r="N41" s="100"/>
      <c r="O41" s="100"/>
      <c r="P41" s="100"/>
      <c r="Q41" s="100"/>
    </row>
    <row r="42" spans="3:17">
      <c r="J42" s="100"/>
      <c r="K42" s="100"/>
      <c r="L42" s="100"/>
      <c r="M42" s="100"/>
      <c r="N42" s="100"/>
      <c r="O42" s="100"/>
      <c r="P42" s="100"/>
      <c r="Q42" s="100"/>
    </row>
    <row r="43" spans="3:17">
      <c r="D43" s="5" t="str">
        <f>Fcast_TO!E96</f>
        <v>Debt Drawdowns</v>
      </c>
      <c r="J43" s="100">
        <f>Fcast_TO!J96</f>
        <v>0</v>
      </c>
      <c r="K43" s="100">
        <f>Fcast_TO!K96</f>
        <v>0</v>
      </c>
      <c r="L43" s="100">
        <f>Fcast_TO!L96</f>
        <v>0</v>
      </c>
      <c r="M43" s="100">
        <f>Fcast_TO!M96</f>
        <v>0</v>
      </c>
      <c r="N43" s="100">
        <f>Fcast_TO!N96</f>
        <v>50</v>
      </c>
      <c r="O43" s="100">
        <f>Fcast_TO!O96</f>
        <v>0</v>
      </c>
      <c r="P43" s="100">
        <f>Fcast_TO!P96</f>
        <v>0</v>
      </c>
      <c r="Q43" s="100">
        <f>Fcast_TO!Q96</f>
        <v>0</v>
      </c>
    </row>
    <row r="44" spans="3:17">
      <c r="D44" s="5" t="str">
        <f>Fcast_TO!E97</f>
        <v>Debt Repayments</v>
      </c>
      <c r="J44" s="100">
        <f>Fcast_TO!J97</f>
        <v>0</v>
      </c>
      <c r="K44" s="100">
        <f>Fcast_TO!K97</f>
        <v>0</v>
      </c>
      <c r="L44" s="100">
        <f>Fcast_TO!L97</f>
        <v>0</v>
      </c>
      <c r="M44" s="100">
        <f>Fcast_TO!M97</f>
        <v>0</v>
      </c>
      <c r="N44" s="100">
        <f>Fcast_TO!N97</f>
        <v>-45</v>
      </c>
      <c r="O44" s="100">
        <f>Fcast_TO!O97</f>
        <v>0</v>
      </c>
      <c r="P44" s="100">
        <f>Fcast_TO!P97</f>
        <v>0</v>
      </c>
      <c r="Q44" s="100">
        <f>Fcast_TO!Q97</f>
        <v>0</v>
      </c>
    </row>
    <row r="45" spans="3:17">
      <c r="D45" s="5" t="str">
        <f>Fcast_TO!E122</f>
        <v>Equity Raisings</v>
      </c>
      <c r="J45" s="100">
        <f>Fcast_TO!J122</f>
        <v>0</v>
      </c>
      <c r="K45" s="100">
        <f>Fcast_TO!K122</f>
        <v>0</v>
      </c>
      <c r="L45" s="100">
        <f>Fcast_TO!L122</f>
        <v>0</v>
      </c>
      <c r="M45" s="100">
        <f>Fcast_TO!M122</f>
        <v>0</v>
      </c>
      <c r="N45" s="100">
        <f>Fcast_TO!N122</f>
        <v>0</v>
      </c>
      <c r="O45" s="100">
        <f>Fcast_TO!O122</f>
        <v>0</v>
      </c>
      <c r="P45" s="100">
        <f>Fcast_TO!P122</f>
        <v>0</v>
      </c>
      <c r="Q45" s="100">
        <f>Fcast_TO!Q122</f>
        <v>0</v>
      </c>
    </row>
    <row r="46" spans="3:17">
      <c r="D46" s="5" t="str">
        <f>Fcast_TO!E123</f>
        <v>Equity Repayments</v>
      </c>
      <c r="J46" s="100">
        <f>Fcast_TO!J123</f>
        <v>0</v>
      </c>
      <c r="K46" s="100">
        <f>Fcast_TO!K123</f>
        <v>0</v>
      </c>
      <c r="L46" s="100">
        <f>Fcast_TO!L123</f>
        <v>0</v>
      </c>
      <c r="M46" s="100">
        <f>Fcast_TO!M123</f>
        <v>0</v>
      </c>
      <c r="N46" s="100">
        <f>Fcast_TO!N123</f>
        <v>0</v>
      </c>
      <c r="O46" s="100">
        <f>Fcast_TO!O123</f>
        <v>0</v>
      </c>
      <c r="P46" s="100">
        <f>Fcast_TO!P123</f>
        <v>0</v>
      </c>
      <c r="Q46" s="100">
        <f>Fcast_TO!Q123</f>
        <v>0</v>
      </c>
    </row>
    <row r="47" spans="3:17">
      <c r="D47" s="5" t="str">
        <f>Fcast_TO!E130</f>
        <v>Dividends Paid During Period</v>
      </c>
      <c r="J47" s="100">
        <f>Fcast_TO!J130</f>
        <v>-14.918749999999999</v>
      </c>
      <c r="K47" s="100">
        <f>Fcast_TO!K130</f>
        <v>-15.32015625</v>
      </c>
      <c r="L47" s="100">
        <f>Fcast_TO!L130</f>
        <v>-15.731597656250003</v>
      </c>
      <c r="M47" s="100">
        <f>Fcast_TO!M130</f>
        <v>-16.153325097656253</v>
      </c>
      <c r="N47" s="100">
        <f>Fcast_TO!N130</f>
        <v>-16.528720725097664</v>
      </c>
      <c r="O47" s="100">
        <f>Fcast_TO!O130</f>
        <v>-16.914923118225101</v>
      </c>
      <c r="P47" s="100">
        <f>Fcast_TO!P130</f>
        <v>-17.369077446180725</v>
      </c>
      <c r="Q47" s="100">
        <f>Fcast_TO!Q130</f>
        <v>-17.834585632335237</v>
      </c>
    </row>
    <row r="48" spans="3:17">
      <c r="D48" s="143" t="str">
        <f>"Net "&amp;C41</f>
        <v>Net Cash Flow from Financing Activities</v>
      </c>
      <c r="J48" s="147">
        <f>SUM(J43:J47)</f>
        <v>-14.918749999999999</v>
      </c>
      <c r="K48" s="147">
        <f t="shared" ref="K48:Q48" si="12">SUM(K43:K47)</f>
        <v>-15.32015625</v>
      </c>
      <c r="L48" s="147">
        <f t="shared" si="12"/>
        <v>-15.731597656250003</v>
      </c>
      <c r="M48" s="147">
        <f t="shared" si="12"/>
        <v>-16.153325097656253</v>
      </c>
      <c r="N48" s="147">
        <f t="shared" si="12"/>
        <v>-11.528720725097664</v>
      </c>
      <c r="O48" s="147">
        <f t="shared" si="12"/>
        <v>-16.914923118225101</v>
      </c>
      <c r="P48" s="147">
        <f t="shared" si="12"/>
        <v>-17.369077446180725</v>
      </c>
      <c r="Q48" s="147">
        <f t="shared" si="12"/>
        <v>-17.834585632335237</v>
      </c>
    </row>
    <row r="49" spans="2:17">
      <c r="J49" s="100"/>
      <c r="K49" s="100"/>
      <c r="L49" s="100"/>
      <c r="M49" s="100"/>
      <c r="N49" s="100"/>
      <c r="O49" s="100"/>
      <c r="P49" s="100"/>
      <c r="Q49" s="100"/>
    </row>
    <row r="50" spans="2:17" ht="12" thickBot="1">
      <c r="C50" s="99" t="s">
        <v>19</v>
      </c>
      <c r="J50" s="146">
        <f t="shared" ref="J50:Q50" si="13">J31+J39+J48</f>
        <v>23.570976027397268</v>
      </c>
      <c r="K50" s="146">
        <f t="shared" si="13"/>
        <v>12.148336900684914</v>
      </c>
      <c r="L50" s="146">
        <f t="shared" si="13"/>
        <v>12.486971075503874</v>
      </c>
      <c r="M50" s="146">
        <f t="shared" si="13"/>
        <v>12.814444141480315</v>
      </c>
      <c r="N50" s="146">
        <f t="shared" si="13"/>
        <v>18.064268203626661</v>
      </c>
      <c r="O50" s="146">
        <f t="shared" si="13"/>
        <v>13.365078033717339</v>
      </c>
      <c r="P50" s="146">
        <f t="shared" si="13"/>
        <v>13.787616801088642</v>
      </c>
      <c r="Q50" s="146">
        <f t="shared" si="13"/>
        <v>14.149085792645895</v>
      </c>
    </row>
    <row r="51" spans="2:17" ht="11.25" thickTop="1"/>
    <row r="53" spans="2:17" ht="12.75">
      <c r="B53" s="126" t="s">
        <v>429</v>
      </c>
    </row>
    <row r="55" spans="2:17" ht="11.25">
      <c r="C55" s="127" t="str">
        <f>C18</f>
        <v>Cash Flow from Operating Activities</v>
      </c>
    </row>
    <row r="57" spans="2:17">
      <c r="D57" s="114" t="s">
        <v>14</v>
      </c>
      <c r="J57" s="100">
        <f>IS_TO!J39</f>
        <v>29.837499999999999</v>
      </c>
      <c r="K57" s="100">
        <f>IS_TO!K39</f>
        <v>30.6403125</v>
      </c>
      <c r="L57" s="100">
        <f>IS_TO!L39</f>
        <v>31.463195312500005</v>
      </c>
      <c r="M57" s="100">
        <f>IS_TO!M39</f>
        <v>32.306650195312507</v>
      </c>
      <c r="N57" s="100">
        <f>IS_TO!N39</f>
        <v>33.057441450195327</v>
      </c>
      <c r="O57" s="100">
        <f>IS_TO!O39</f>
        <v>33.829846236450202</v>
      </c>
      <c r="P57" s="100">
        <f>IS_TO!P39</f>
        <v>34.73815489236145</v>
      </c>
      <c r="Q57" s="100">
        <f>IS_TO!Q39</f>
        <v>35.669171264670474</v>
      </c>
    </row>
    <row r="58" spans="2:17">
      <c r="D58" s="114" t="s">
        <v>20</v>
      </c>
      <c r="J58" s="100">
        <f>-IS_TO!J37</f>
        <v>12.7875</v>
      </c>
      <c r="K58" s="100">
        <f>-IS_TO!K37</f>
        <v>13.131562499999999</v>
      </c>
      <c r="L58" s="100">
        <f>-IS_TO!L37</f>
        <v>13.4842265625</v>
      </c>
      <c r="M58" s="100">
        <f>-IS_TO!M37</f>
        <v>13.845707226562503</v>
      </c>
      <c r="N58" s="100">
        <f>-IS_TO!N37</f>
        <v>14.167474907226566</v>
      </c>
      <c r="O58" s="100">
        <f>-IS_TO!O37</f>
        <v>14.498505529907227</v>
      </c>
      <c r="P58" s="100">
        <f>-IS_TO!P37</f>
        <v>14.887780668154907</v>
      </c>
      <c r="Q58" s="100">
        <f>-IS_TO!Q37</f>
        <v>15.286787684858773</v>
      </c>
    </row>
    <row r="59" spans="2:17">
      <c r="D59" s="114" t="s">
        <v>21</v>
      </c>
      <c r="J59" s="100">
        <f>-IS_TO!J33</f>
        <v>3.25</v>
      </c>
      <c r="K59" s="100">
        <f>-IS_TO!K33</f>
        <v>3.25</v>
      </c>
      <c r="L59" s="100">
        <f>-IS_TO!L33</f>
        <v>3.25</v>
      </c>
      <c r="M59" s="100">
        <f>-IS_TO!M33</f>
        <v>3.25</v>
      </c>
      <c r="N59" s="100">
        <f>-IS_TO!N33</f>
        <v>3.4125000000000001</v>
      </c>
      <c r="O59" s="100">
        <f>-IS_TO!O33</f>
        <v>3.5750000000000002</v>
      </c>
      <c r="P59" s="100">
        <f>-IS_TO!P33</f>
        <v>3.5750000000000002</v>
      </c>
      <c r="Q59" s="100">
        <f>-IS_TO!Q33</f>
        <v>3.5750000000000002</v>
      </c>
    </row>
    <row r="60" spans="2:17">
      <c r="D60" s="114" t="s">
        <v>22</v>
      </c>
      <c r="J60" s="100">
        <f>-IS_TO!J29</f>
        <v>14.125</v>
      </c>
      <c r="K60" s="100">
        <f>-IS_TO!K29</f>
        <v>14.478124999999999</v>
      </c>
      <c r="L60" s="100">
        <f>-IS_TO!L29</f>
        <v>14.840078124999996</v>
      </c>
      <c r="M60" s="100">
        <f>-IS_TO!M29</f>
        <v>15.211080078124994</v>
      </c>
      <c r="N60" s="100">
        <f>-IS_TO!N29</f>
        <v>15.591357080078117</v>
      </c>
      <c r="O60" s="100">
        <f>-IS_TO!O29</f>
        <v>15.981141007080069</v>
      </c>
      <c r="P60" s="100">
        <f>-IS_TO!P29</f>
        <v>16.38066953225707</v>
      </c>
      <c r="Q60" s="100">
        <f>-IS_TO!Q29</f>
        <v>16.790186270563492</v>
      </c>
    </row>
    <row r="61" spans="2:17">
      <c r="D61" s="5" t="str">
        <f>E21</f>
        <v>Decrease in Accounts Receivable</v>
      </c>
      <c r="J61" s="100">
        <f t="shared" ref="J61:Q61" si="14">J21</f>
        <v>10.726027397260282</v>
      </c>
      <c r="K61" s="100">
        <f t="shared" si="14"/>
        <v>-0.25684931506850717</v>
      </c>
      <c r="L61" s="100">
        <f t="shared" si="14"/>
        <v>-0.23377849202785228</v>
      </c>
      <c r="M61" s="100">
        <f t="shared" si="14"/>
        <v>-0.29934436756118998</v>
      </c>
      <c r="N61" s="100">
        <f t="shared" si="14"/>
        <v>-0.27659861943493524</v>
      </c>
      <c r="O61" s="100">
        <f t="shared" si="14"/>
        <v>-0.28351358492079726</v>
      </c>
      <c r="P61" s="100">
        <f t="shared" si="14"/>
        <v>-0.25804771305121221</v>
      </c>
      <c r="Q61" s="100">
        <f t="shared" si="14"/>
        <v>-0.3304201716500188</v>
      </c>
    </row>
    <row r="62" spans="2:17">
      <c r="D62" s="5" t="str">
        <f>E25</f>
        <v>Increase in Accounts Payable</v>
      </c>
      <c r="J62" s="100">
        <f t="shared" ref="J62:Q62" si="15">J25</f>
        <v>-7.9863013698630141</v>
      </c>
      <c r="K62" s="100">
        <f t="shared" si="15"/>
        <v>0.20034246575342252</v>
      </c>
      <c r="L62" s="100">
        <f t="shared" si="15"/>
        <v>0.18234722378171853</v>
      </c>
      <c r="M62" s="100">
        <f t="shared" si="15"/>
        <v>0.2334886066977333</v>
      </c>
      <c r="N62" s="100">
        <f t="shared" si="15"/>
        <v>0.21574692315924437</v>
      </c>
      <c r="O62" s="100">
        <f t="shared" si="15"/>
        <v>0.22114059623822868</v>
      </c>
      <c r="P62" s="100">
        <f t="shared" si="15"/>
        <v>0.20127721617994609</v>
      </c>
      <c r="Q62" s="100">
        <f t="shared" si="15"/>
        <v>0.25772773388702319</v>
      </c>
    </row>
    <row r="63" spans="2:17">
      <c r="D63" s="5" t="str">
        <f>D27</f>
        <v>Interest Paid</v>
      </c>
      <c r="J63" s="100">
        <f t="shared" ref="J63:Q63" si="16">J27</f>
        <v>-3.25</v>
      </c>
      <c r="K63" s="100">
        <f t="shared" si="16"/>
        <v>-3.25</v>
      </c>
      <c r="L63" s="100">
        <f t="shared" si="16"/>
        <v>-3.25</v>
      </c>
      <c r="M63" s="100">
        <f t="shared" si="16"/>
        <v>-3.25</v>
      </c>
      <c r="N63" s="100">
        <f t="shared" si="16"/>
        <v>-3.4125000000000001</v>
      </c>
      <c r="O63" s="100">
        <f t="shared" si="16"/>
        <v>-3.5750000000000002</v>
      </c>
      <c r="P63" s="100">
        <f t="shared" si="16"/>
        <v>-3.5750000000000002</v>
      </c>
      <c r="Q63" s="100">
        <f t="shared" si="16"/>
        <v>-3.5750000000000002</v>
      </c>
    </row>
    <row r="64" spans="2:17">
      <c r="D64" s="5" t="str">
        <f>D28</f>
        <v>Tax Paid</v>
      </c>
      <c r="J64" s="100">
        <f t="shared" ref="J64:Q64" si="17">J28</f>
        <v>-3.5</v>
      </c>
      <c r="K64" s="100">
        <f t="shared" si="17"/>
        <v>-12.7875</v>
      </c>
      <c r="L64" s="100">
        <f t="shared" si="17"/>
        <v>-13.131562499999999</v>
      </c>
      <c r="M64" s="100">
        <f t="shared" si="17"/>
        <v>-13.4842265625</v>
      </c>
      <c r="N64" s="100">
        <f t="shared" si="17"/>
        <v>-13.845707226562503</v>
      </c>
      <c r="O64" s="100">
        <f t="shared" si="17"/>
        <v>-14.167474907226566</v>
      </c>
      <c r="P64" s="100">
        <f t="shared" si="17"/>
        <v>-14.498505529907227</v>
      </c>
      <c r="Q64" s="100">
        <f t="shared" si="17"/>
        <v>-14.887780668154907</v>
      </c>
    </row>
    <row r="65" spans="3:17" s="16" customFormat="1">
      <c r="D65" s="5" t="str">
        <f t="shared" ref="D65:D66" si="18">D29</f>
        <v>Decrease in Other Current Assets</v>
      </c>
      <c r="J65" s="100">
        <f t="shared" ref="J65:Q65" si="19">J29</f>
        <v>-1</v>
      </c>
      <c r="K65" s="100">
        <f t="shared" si="19"/>
        <v>-1</v>
      </c>
      <c r="L65" s="100">
        <f t="shared" si="19"/>
        <v>-1</v>
      </c>
      <c r="M65" s="100">
        <f t="shared" si="19"/>
        <v>-1</v>
      </c>
      <c r="N65" s="100">
        <f t="shared" si="19"/>
        <v>-1</v>
      </c>
      <c r="O65" s="100">
        <f t="shared" si="19"/>
        <v>-1</v>
      </c>
      <c r="P65" s="100">
        <f t="shared" si="19"/>
        <v>-1</v>
      </c>
      <c r="Q65" s="100">
        <f t="shared" si="19"/>
        <v>-1</v>
      </c>
    </row>
    <row r="66" spans="3:17" s="16" customFormat="1">
      <c r="D66" s="5" t="str">
        <f t="shared" si="18"/>
        <v>Increase in Other Current Liabilities</v>
      </c>
      <c r="J66" s="100">
        <f t="shared" ref="J66:Q66" si="20">J30</f>
        <v>1</v>
      </c>
      <c r="K66" s="100">
        <f t="shared" si="20"/>
        <v>1</v>
      </c>
      <c r="L66" s="100">
        <f t="shared" si="20"/>
        <v>1</v>
      </c>
      <c r="M66" s="100">
        <f t="shared" si="20"/>
        <v>1</v>
      </c>
      <c r="N66" s="100">
        <f t="shared" si="20"/>
        <v>1</v>
      </c>
      <c r="O66" s="100">
        <f t="shared" si="20"/>
        <v>1</v>
      </c>
      <c r="P66" s="100">
        <f t="shared" si="20"/>
        <v>1</v>
      </c>
      <c r="Q66" s="100">
        <f t="shared" si="20"/>
        <v>1</v>
      </c>
    </row>
    <row r="67" spans="3:17">
      <c r="D67" s="4" t="str">
        <f>D31</f>
        <v>Net Cash Flow from Operating Activities</v>
      </c>
      <c r="J67" s="147">
        <f>SUM(J57:J66)</f>
        <v>55.989726027397268</v>
      </c>
      <c r="K67" s="147">
        <f t="shared" ref="K67:Q67" si="21">SUM(K57:K66)</f>
        <v>45.405993150684914</v>
      </c>
      <c r="L67" s="147">
        <f t="shared" si="21"/>
        <v>46.604506231753867</v>
      </c>
      <c r="M67" s="147">
        <f t="shared" si="21"/>
        <v>47.813355176636549</v>
      </c>
      <c r="N67" s="147">
        <f t="shared" si="21"/>
        <v>48.909714514661815</v>
      </c>
      <c r="O67" s="147">
        <f t="shared" si="21"/>
        <v>50.079644877528366</v>
      </c>
      <c r="P67" s="147">
        <f t="shared" si="21"/>
        <v>51.451329065994933</v>
      </c>
      <c r="Q67" s="147">
        <f t="shared" si="21"/>
        <v>52.785672114174844</v>
      </c>
    </row>
    <row r="69" spans="3:17" ht="11.25">
      <c r="C69" s="127" t="str">
        <f>C33</f>
        <v>Cash Flow from Investing Activities</v>
      </c>
    </row>
    <row r="71" spans="3:17">
      <c r="D71" s="5" t="str">
        <f>D35</f>
        <v>Capital Expenditure - Assets</v>
      </c>
      <c r="J71" s="100">
        <f t="shared" ref="J71:Q72" si="22">J35</f>
        <v>-15</v>
      </c>
      <c r="K71" s="100">
        <f t="shared" si="22"/>
        <v>-15.374999999999998</v>
      </c>
      <c r="L71" s="100">
        <f t="shared" si="22"/>
        <v>-15.759374999999997</v>
      </c>
      <c r="M71" s="100">
        <f t="shared" si="22"/>
        <v>-16.153359374999994</v>
      </c>
      <c r="N71" s="100">
        <f t="shared" si="22"/>
        <v>-16.557193359374992</v>
      </c>
      <c r="O71" s="100">
        <f t="shared" si="22"/>
        <v>-16.971123193359364</v>
      </c>
      <c r="P71" s="100">
        <f t="shared" si="22"/>
        <v>-17.395401273193347</v>
      </c>
      <c r="Q71" s="100">
        <f t="shared" si="22"/>
        <v>-17.830286305023179</v>
      </c>
    </row>
    <row r="72" spans="3:17" s="16" customFormat="1">
      <c r="D72" s="5" t="str">
        <f>D36</f>
        <v>Capital Expenditure - Intangibles</v>
      </c>
      <c r="J72" s="100">
        <f t="shared" si="22"/>
        <v>-2.5</v>
      </c>
      <c r="K72" s="100">
        <f t="shared" si="22"/>
        <v>-2.5625</v>
      </c>
      <c r="L72" s="100">
        <f t="shared" si="22"/>
        <v>-2.6265624999999999</v>
      </c>
      <c r="M72" s="100">
        <f t="shared" si="22"/>
        <v>-2.6922265624999997</v>
      </c>
      <c r="N72" s="100">
        <f t="shared" si="22"/>
        <v>-2.7595322265624995</v>
      </c>
      <c r="O72" s="100">
        <f t="shared" si="22"/>
        <v>-2.8285205322265616</v>
      </c>
      <c r="P72" s="100">
        <f t="shared" si="22"/>
        <v>-2.8992335455322253</v>
      </c>
      <c r="Q72" s="100">
        <f t="shared" si="22"/>
        <v>-2.9717143841705309</v>
      </c>
    </row>
    <row r="73" spans="3:17" s="16" customFormat="1">
      <c r="D73" s="5" t="str">
        <f t="shared" ref="D73:D74" si="23">D37</f>
        <v>Decrease in Other Non-Current Assets</v>
      </c>
      <c r="J73" s="100">
        <f t="shared" ref="J73:Q73" si="24">J37</f>
        <v>-1</v>
      </c>
      <c r="K73" s="100">
        <f t="shared" si="24"/>
        <v>-1</v>
      </c>
      <c r="L73" s="100">
        <f t="shared" si="24"/>
        <v>-1</v>
      </c>
      <c r="M73" s="100">
        <f t="shared" si="24"/>
        <v>-1</v>
      </c>
      <c r="N73" s="100">
        <f t="shared" si="24"/>
        <v>-1</v>
      </c>
      <c r="O73" s="100">
        <f t="shared" si="24"/>
        <v>-1</v>
      </c>
      <c r="P73" s="100">
        <f t="shared" si="24"/>
        <v>-1</v>
      </c>
      <c r="Q73" s="100">
        <f t="shared" si="24"/>
        <v>-1</v>
      </c>
    </row>
    <row r="74" spans="3:17" s="16" customFormat="1">
      <c r="D74" s="5" t="str">
        <f t="shared" si="23"/>
        <v>Increase in Other Non-Current Liabilities</v>
      </c>
      <c r="J74" s="100">
        <f t="shared" ref="J74:Q74" si="25">J38</f>
        <v>1</v>
      </c>
      <c r="K74" s="100">
        <f t="shared" si="25"/>
        <v>1</v>
      </c>
      <c r="L74" s="100">
        <f t="shared" si="25"/>
        <v>1</v>
      </c>
      <c r="M74" s="100">
        <f t="shared" si="25"/>
        <v>1</v>
      </c>
      <c r="N74" s="100">
        <f t="shared" si="25"/>
        <v>1</v>
      </c>
      <c r="O74" s="100">
        <f t="shared" si="25"/>
        <v>1</v>
      </c>
      <c r="P74" s="100">
        <f t="shared" si="25"/>
        <v>1</v>
      </c>
      <c r="Q74" s="100">
        <f t="shared" si="25"/>
        <v>1</v>
      </c>
    </row>
    <row r="75" spans="3:17">
      <c r="D75" s="4" t="str">
        <f>D39</f>
        <v>Net Cash Flow from Investing Activities</v>
      </c>
      <c r="J75" s="147">
        <f>SUM(J71:J74)</f>
        <v>-17.5</v>
      </c>
      <c r="K75" s="147">
        <f t="shared" ref="K75:Q75" si="26">SUM(K71:K74)</f>
        <v>-17.9375</v>
      </c>
      <c r="L75" s="147">
        <f t="shared" si="26"/>
        <v>-18.385937499999997</v>
      </c>
      <c r="M75" s="147">
        <f t="shared" si="26"/>
        <v>-18.845585937499994</v>
      </c>
      <c r="N75" s="147">
        <f t="shared" si="26"/>
        <v>-19.31672558593749</v>
      </c>
      <c r="O75" s="147">
        <f t="shared" si="26"/>
        <v>-19.799643725585927</v>
      </c>
      <c r="P75" s="147">
        <f t="shared" si="26"/>
        <v>-20.294634818725573</v>
      </c>
      <c r="Q75" s="147">
        <f t="shared" si="26"/>
        <v>-20.802000689193711</v>
      </c>
    </row>
    <row r="77" spans="3:17" ht="11.25">
      <c r="C77" s="127" t="str">
        <f>C41</f>
        <v>Cash Flow from Financing Activities</v>
      </c>
    </row>
    <row r="79" spans="3:17">
      <c r="D79" s="5" t="str">
        <f>D43</f>
        <v>Debt Drawdowns</v>
      </c>
      <c r="J79" s="100">
        <f>J43</f>
        <v>0</v>
      </c>
      <c r="K79" s="100">
        <f t="shared" ref="K79:Q79" si="27">K43</f>
        <v>0</v>
      </c>
      <c r="L79" s="100">
        <f t="shared" si="27"/>
        <v>0</v>
      </c>
      <c r="M79" s="100">
        <f t="shared" si="27"/>
        <v>0</v>
      </c>
      <c r="N79" s="100">
        <f t="shared" si="27"/>
        <v>50</v>
      </c>
      <c r="O79" s="100">
        <f t="shared" si="27"/>
        <v>0</v>
      </c>
      <c r="P79" s="100">
        <f t="shared" si="27"/>
        <v>0</v>
      </c>
      <c r="Q79" s="100">
        <f t="shared" si="27"/>
        <v>0</v>
      </c>
    </row>
    <row r="80" spans="3:17">
      <c r="D80" s="5" t="str">
        <f t="shared" ref="D80:D83" si="28">D44</f>
        <v>Debt Repayments</v>
      </c>
      <c r="J80" s="100">
        <f t="shared" ref="J80:Q83" si="29">J44</f>
        <v>0</v>
      </c>
      <c r="K80" s="100">
        <f t="shared" si="29"/>
        <v>0</v>
      </c>
      <c r="L80" s="100">
        <f t="shared" si="29"/>
        <v>0</v>
      </c>
      <c r="M80" s="100">
        <f t="shared" si="29"/>
        <v>0</v>
      </c>
      <c r="N80" s="100">
        <f t="shared" si="29"/>
        <v>-45</v>
      </c>
      <c r="O80" s="100">
        <f t="shared" si="29"/>
        <v>0</v>
      </c>
      <c r="P80" s="100">
        <f t="shared" si="29"/>
        <v>0</v>
      </c>
      <c r="Q80" s="100">
        <f t="shared" si="29"/>
        <v>0</v>
      </c>
    </row>
    <row r="81" spans="2:17">
      <c r="D81" s="5" t="str">
        <f t="shared" si="28"/>
        <v>Equity Raisings</v>
      </c>
      <c r="J81" s="100">
        <f t="shared" si="29"/>
        <v>0</v>
      </c>
      <c r="K81" s="100">
        <f t="shared" si="29"/>
        <v>0</v>
      </c>
      <c r="L81" s="100">
        <f t="shared" si="29"/>
        <v>0</v>
      </c>
      <c r="M81" s="100">
        <f t="shared" si="29"/>
        <v>0</v>
      </c>
      <c r="N81" s="100">
        <f t="shared" si="29"/>
        <v>0</v>
      </c>
      <c r="O81" s="100">
        <f t="shared" si="29"/>
        <v>0</v>
      </c>
      <c r="P81" s="100">
        <f t="shared" si="29"/>
        <v>0</v>
      </c>
      <c r="Q81" s="100">
        <f t="shared" si="29"/>
        <v>0</v>
      </c>
    </row>
    <row r="82" spans="2:17">
      <c r="D82" s="5" t="str">
        <f t="shared" si="28"/>
        <v>Equity Repayments</v>
      </c>
      <c r="J82" s="100">
        <f t="shared" si="29"/>
        <v>0</v>
      </c>
      <c r="K82" s="100">
        <f t="shared" si="29"/>
        <v>0</v>
      </c>
      <c r="L82" s="100">
        <f t="shared" si="29"/>
        <v>0</v>
      </c>
      <c r="M82" s="100">
        <f t="shared" si="29"/>
        <v>0</v>
      </c>
      <c r="N82" s="100">
        <f t="shared" si="29"/>
        <v>0</v>
      </c>
      <c r="O82" s="100">
        <f t="shared" si="29"/>
        <v>0</v>
      </c>
      <c r="P82" s="100">
        <f t="shared" si="29"/>
        <v>0</v>
      </c>
      <c r="Q82" s="100">
        <f t="shared" si="29"/>
        <v>0</v>
      </c>
    </row>
    <row r="83" spans="2:17">
      <c r="D83" s="5" t="str">
        <f t="shared" si="28"/>
        <v>Dividends Paid During Period</v>
      </c>
      <c r="J83" s="100">
        <f t="shared" si="29"/>
        <v>-14.918749999999999</v>
      </c>
      <c r="K83" s="100">
        <f t="shared" si="29"/>
        <v>-15.32015625</v>
      </c>
      <c r="L83" s="100">
        <f t="shared" si="29"/>
        <v>-15.731597656250003</v>
      </c>
      <c r="M83" s="100">
        <f t="shared" si="29"/>
        <v>-16.153325097656253</v>
      </c>
      <c r="N83" s="100">
        <f t="shared" si="29"/>
        <v>-16.528720725097664</v>
      </c>
      <c r="O83" s="100">
        <f t="shared" si="29"/>
        <v>-16.914923118225101</v>
      </c>
      <c r="P83" s="100">
        <f t="shared" si="29"/>
        <v>-17.369077446180725</v>
      </c>
      <c r="Q83" s="100">
        <f t="shared" si="29"/>
        <v>-17.834585632335237</v>
      </c>
    </row>
    <row r="84" spans="2:17">
      <c r="D84" s="4" t="str">
        <f>D48</f>
        <v>Net Cash Flow from Financing Activities</v>
      </c>
      <c r="J84" s="147">
        <f t="shared" ref="J84:Q84" si="30">SUM(J77:J83)</f>
        <v>-14.918749999999999</v>
      </c>
      <c r="K84" s="147">
        <f t="shared" si="30"/>
        <v>-15.32015625</v>
      </c>
      <c r="L84" s="147">
        <f t="shared" si="30"/>
        <v>-15.731597656250003</v>
      </c>
      <c r="M84" s="147">
        <f t="shared" si="30"/>
        <v>-16.153325097656253</v>
      </c>
      <c r="N84" s="147">
        <f t="shared" si="30"/>
        <v>-11.528720725097664</v>
      </c>
      <c r="O84" s="147">
        <f t="shared" si="30"/>
        <v>-16.914923118225101</v>
      </c>
      <c r="P84" s="147">
        <f t="shared" si="30"/>
        <v>-17.369077446180725</v>
      </c>
      <c r="Q84" s="147">
        <f t="shared" si="30"/>
        <v>-17.834585632335237</v>
      </c>
    </row>
    <row r="86" spans="2:17" ht="12" thickBot="1">
      <c r="C86" s="127" t="str">
        <f>C50</f>
        <v>Net Increase / (Decrease) in Cash Held</v>
      </c>
      <c r="J86" s="146">
        <f t="shared" ref="J86:Q86" si="31">J67+J75+J84</f>
        <v>23.570976027397268</v>
      </c>
      <c r="K86" s="146">
        <f t="shared" si="31"/>
        <v>12.148336900684914</v>
      </c>
      <c r="L86" s="146">
        <f t="shared" si="31"/>
        <v>12.486971075503867</v>
      </c>
      <c r="M86" s="146">
        <f t="shared" si="31"/>
        <v>12.814444141480301</v>
      </c>
      <c r="N86" s="146">
        <f t="shared" si="31"/>
        <v>18.064268203626661</v>
      </c>
      <c r="O86" s="146">
        <f t="shared" si="31"/>
        <v>13.365078033717339</v>
      </c>
      <c r="P86" s="146">
        <f t="shared" si="31"/>
        <v>13.787616801088635</v>
      </c>
      <c r="Q86" s="146">
        <f t="shared" si="31"/>
        <v>14.149085792645895</v>
      </c>
    </row>
    <row r="87" spans="2:17" ht="11.25" thickTop="1"/>
    <row r="89" spans="2:17" ht="12.75">
      <c r="B89" s="126" t="s">
        <v>430</v>
      </c>
    </row>
    <row r="91" spans="2:17">
      <c r="D91" s="5" t="str">
        <f>$D$31</f>
        <v>Net Cash Flow from Operating Activities</v>
      </c>
      <c r="J91" s="100">
        <f t="shared" ref="J91:Q91" si="32">J$31</f>
        <v>55.989726027397268</v>
      </c>
      <c r="K91" s="100">
        <f t="shared" si="32"/>
        <v>45.405993150684914</v>
      </c>
      <c r="L91" s="100">
        <f t="shared" si="32"/>
        <v>46.604506231753874</v>
      </c>
      <c r="M91" s="100">
        <f t="shared" si="32"/>
        <v>47.813355176636563</v>
      </c>
      <c r="N91" s="100">
        <f t="shared" si="32"/>
        <v>48.909714514661815</v>
      </c>
      <c r="O91" s="100">
        <f t="shared" si="32"/>
        <v>50.079644877528366</v>
      </c>
      <c r="P91" s="100">
        <f t="shared" si="32"/>
        <v>51.45132906599494</v>
      </c>
      <c r="Q91" s="100">
        <f t="shared" si="32"/>
        <v>52.785672114174844</v>
      </c>
    </row>
    <row r="92" spans="2:17">
      <c r="D92" s="5" t="str">
        <f>$D$39</f>
        <v>Net Cash Flow from Investing Activities</v>
      </c>
      <c r="J92" s="100">
        <f t="shared" ref="J92:Q92" si="33">J$39</f>
        <v>-17.5</v>
      </c>
      <c r="K92" s="100">
        <f t="shared" si="33"/>
        <v>-17.9375</v>
      </c>
      <c r="L92" s="100">
        <f t="shared" si="33"/>
        <v>-18.385937499999997</v>
      </c>
      <c r="M92" s="100">
        <f t="shared" si="33"/>
        <v>-18.845585937499994</v>
      </c>
      <c r="N92" s="100">
        <f t="shared" si="33"/>
        <v>-19.31672558593749</v>
      </c>
      <c r="O92" s="100">
        <f t="shared" si="33"/>
        <v>-19.799643725585927</v>
      </c>
      <c r="P92" s="100">
        <f t="shared" si="33"/>
        <v>-20.294634818725573</v>
      </c>
      <c r="Q92" s="100">
        <f t="shared" si="33"/>
        <v>-20.802000689193711</v>
      </c>
    </row>
    <row r="93" spans="2:17">
      <c r="D93" s="123" t="str">
        <f>"(Add Back) "&amp;$D$27</f>
        <v>(Add Back) Interest Paid</v>
      </c>
      <c r="J93" s="102">
        <f t="shared" ref="J93:Q93" si="34">-J$27</f>
        <v>3.25</v>
      </c>
      <c r="K93" s="102">
        <f t="shared" si="34"/>
        <v>3.25</v>
      </c>
      <c r="L93" s="102">
        <f t="shared" si="34"/>
        <v>3.25</v>
      </c>
      <c r="M93" s="102">
        <f t="shared" si="34"/>
        <v>3.25</v>
      </c>
      <c r="N93" s="102">
        <f t="shared" si="34"/>
        <v>3.4125000000000001</v>
      </c>
      <c r="O93" s="102">
        <f t="shared" si="34"/>
        <v>3.5750000000000002</v>
      </c>
      <c r="P93" s="102">
        <f t="shared" si="34"/>
        <v>3.5750000000000002</v>
      </c>
      <c r="Q93" s="102">
        <f t="shared" si="34"/>
        <v>3.5750000000000002</v>
      </c>
    </row>
    <row r="94" spans="2:17">
      <c r="D94" s="115" t="s">
        <v>23</v>
      </c>
      <c r="J94" s="103">
        <f t="shared" ref="J94:Q94" si="35">SUM(J91:J93)</f>
        <v>41.739726027397268</v>
      </c>
      <c r="K94" s="103">
        <f t="shared" si="35"/>
        <v>30.718493150684914</v>
      </c>
      <c r="L94" s="103">
        <f t="shared" si="35"/>
        <v>31.468568731753876</v>
      </c>
      <c r="M94" s="103">
        <f t="shared" si="35"/>
        <v>32.217769239136572</v>
      </c>
      <c r="N94" s="103">
        <f t="shared" si="35"/>
        <v>33.005488928724326</v>
      </c>
      <c r="O94" s="103">
        <f t="shared" si="35"/>
        <v>33.855001151942439</v>
      </c>
      <c r="P94" s="103">
        <f t="shared" si="35"/>
        <v>34.731694247269367</v>
      </c>
      <c r="Q94" s="103">
        <f t="shared" si="35"/>
        <v>35.558671424981135</v>
      </c>
    </row>
    <row r="95" spans="2:17">
      <c r="D95" s="5" t="str">
        <f>$D$27</f>
        <v>Interest Paid</v>
      </c>
      <c r="J95" s="100">
        <f t="shared" ref="J95:Q95" si="36">J$27</f>
        <v>-3.25</v>
      </c>
      <c r="K95" s="100">
        <f t="shared" si="36"/>
        <v>-3.25</v>
      </c>
      <c r="L95" s="100">
        <f t="shared" si="36"/>
        <v>-3.25</v>
      </c>
      <c r="M95" s="100">
        <f t="shared" si="36"/>
        <v>-3.25</v>
      </c>
      <c r="N95" s="100">
        <f t="shared" si="36"/>
        <v>-3.4125000000000001</v>
      </c>
      <c r="O95" s="100">
        <f t="shared" si="36"/>
        <v>-3.5750000000000002</v>
      </c>
      <c r="P95" s="100">
        <f t="shared" si="36"/>
        <v>-3.5750000000000002</v>
      </c>
      <c r="Q95" s="100">
        <f t="shared" si="36"/>
        <v>-3.5750000000000002</v>
      </c>
    </row>
    <row r="96" spans="2:17">
      <c r="D96" s="5" t="str">
        <f>D43</f>
        <v>Debt Drawdowns</v>
      </c>
      <c r="J96" s="100">
        <f>J43</f>
        <v>0</v>
      </c>
      <c r="K96" s="100">
        <f t="shared" ref="K96:Q96" si="37">K43</f>
        <v>0</v>
      </c>
      <c r="L96" s="100">
        <f t="shared" si="37"/>
        <v>0</v>
      </c>
      <c r="M96" s="100">
        <f t="shared" si="37"/>
        <v>0</v>
      </c>
      <c r="N96" s="100">
        <f t="shared" si="37"/>
        <v>50</v>
      </c>
      <c r="O96" s="100">
        <f t="shared" si="37"/>
        <v>0</v>
      </c>
      <c r="P96" s="100">
        <f t="shared" si="37"/>
        <v>0</v>
      </c>
      <c r="Q96" s="100">
        <f t="shared" si="37"/>
        <v>0</v>
      </c>
    </row>
    <row r="97" spans="4:17">
      <c r="D97" s="5" t="str">
        <f>D44</f>
        <v>Debt Repayments</v>
      </c>
      <c r="J97" s="102">
        <f>J44</f>
        <v>0</v>
      </c>
      <c r="K97" s="102">
        <f t="shared" ref="K97:Q97" si="38">K44</f>
        <v>0</v>
      </c>
      <c r="L97" s="102">
        <f t="shared" si="38"/>
        <v>0</v>
      </c>
      <c r="M97" s="102">
        <f t="shared" si="38"/>
        <v>0</v>
      </c>
      <c r="N97" s="102">
        <f t="shared" si="38"/>
        <v>-45</v>
      </c>
      <c r="O97" s="102">
        <f t="shared" si="38"/>
        <v>0</v>
      </c>
      <c r="P97" s="102">
        <f t="shared" si="38"/>
        <v>0</v>
      </c>
      <c r="Q97" s="102">
        <f t="shared" si="38"/>
        <v>0</v>
      </c>
    </row>
    <row r="98" spans="4:17">
      <c r="D98" s="115" t="s">
        <v>24</v>
      </c>
      <c r="J98" s="103">
        <f t="shared" ref="J98:Q98" si="39">SUM(J94:J97)</f>
        <v>38.489726027397268</v>
      </c>
      <c r="K98" s="103">
        <f t="shared" si="39"/>
        <v>27.468493150684914</v>
      </c>
      <c r="L98" s="103">
        <f t="shared" si="39"/>
        <v>28.218568731753876</v>
      </c>
      <c r="M98" s="103">
        <f t="shared" si="39"/>
        <v>28.967769239136572</v>
      </c>
      <c r="N98" s="103">
        <f t="shared" si="39"/>
        <v>34.592988928724324</v>
      </c>
      <c r="O98" s="103">
        <f t="shared" si="39"/>
        <v>30.280001151942439</v>
      </c>
      <c r="P98" s="103">
        <f t="shared" si="39"/>
        <v>31.156694247269368</v>
      </c>
      <c r="Q98" s="103">
        <f t="shared" si="39"/>
        <v>31.983671424981136</v>
      </c>
    </row>
    <row r="99" spans="4:17">
      <c r="D99" s="5" t="str">
        <f>D45</f>
        <v>Equity Raisings</v>
      </c>
      <c r="J99" s="100">
        <f>J45</f>
        <v>0</v>
      </c>
      <c r="K99" s="100">
        <f t="shared" ref="K99:Q99" si="40">K45</f>
        <v>0</v>
      </c>
      <c r="L99" s="100">
        <f t="shared" si="40"/>
        <v>0</v>
      </c>
      <c r="M99" s="100">
        <f t="shared" si="40"/>
        <v>0</v>
      </c>
      <c r="N99" s="100">
        <f t="shared" si="40"/>
        <v>0</v>
      </c>
      <c r="O99" s="100">
        <f t="shared" si="40"/>
        <v>0</v>
      </c>
      <c r="P99" s="100">
        <f t="shared" si="40"/>
        <v>0</v>
      </c>
      <c r="Q99" s="100">
        <f t="shared" si="40"/>
        <v>0</v>
      </c>
    </row>
    <row r="100" spans="4:17">
      <c r="D100" s="5" t="str">
        <f>D46</f>
        <v>Equity Repayments</v>
      </c>
      <c r="J100" s="100">
        <f>J46</f>
        <v>0</v>
      </c>
      <c r="K100" s="100">
        <f t="shared" ref="K100:Q100" si="41">K46</f>
        <v>0</v>
      </c>
      <c r="L100" s="100">
        <f t="shared" si="41"/>
        <v>0</v>
      </c>
      <c r="M100" s="100">
        <f t="shared" si="41"/>
        <v>0</v>
      </c>
      <c r="N100" s="100">
        <f t="shared" si="41"/>
        <v>0</v>
      </c>
      <c r="O100" s="100">
        <f t="shared" si="41"/>
        <v>0</v>
      </c>
      <c r="P100" s="100">
        <f t="shared" si="41"/>
        <v>0</v>
      </c>
      <c r="Q100" s="100">
        <f t="shared" si="41"/>
        <v>0</v>
      </c>
    </row>
    <row r="101" spans="4:17">
      <c r="D101" s="115" t="s">
        <v>284</v>
      </c>
      <c r="J101" s="147">
        <f t="shared" ref="J101:Q101" si="42">SUM(J98:J100)</f>
        <v>38.489726027397268</v>
      </c>
      <c r="K101" s="147">
        <f t="shared" si="42"/>
        <v>27.468493150684914</v>
      </c>
      <c r="L101" s="147">
        <f t="shared" si="42"/>
        <v>28.218568731753876</v>
      </c>
      <c r="M101" s="147">
        <f t="shared" si="42"/>
        <v>28.967769239136572</v>
      </c>
      <c r="N101" s="147">
        <f t="shared" si="42"/>
        <v>34.592988928724324</v>
      </c>
      <c r="O101" s="147">
        <f t="shared" si="42"/>
        <v>30.280001151942439</v>
      </c>
      <c r="P101" s="147">
        <f t="shared" si="42"/>
        <v>31.156694247269368</v>
      </c>
      <c r="Q101" s="147">
        <f t="shared" si="42"/>
        <v>31.983671424981136</v>
      </c>
    </row>
    <row r="102" spans="4:17">
      <c r="D102" s="5" t="str">
        <f>$D$47</f>
        <v>Dividends Paid During Period</v>
      </c>
      <c r="J102" s="100">
        <f t="shared" ref="J102:Q102" si="43">J$47</f>
        <v>-14.918749999999999</v>
      </c>
      <c r="K102" s="100">
        <f t="shared" si="43"/>
        <v>-15.32015625</v>
      </c>
      <c r="L102" s="100">
        <f t="shared" si="43"/>
        <v>-15.731597656250003</v>
      </c>
      <c r="M102" s="100">
        <f t="shared" si="43"/>
        <v>-16.153325097656253</v>
      </c>
      <c r="N102" s="100">
        <f t="shared" si="43"/>
        <v>-16.528720725097664</v>
      </c>
      <c r="O102" s="100">
        <f t="shared" si="43"/>
        <v>-16.914923118225101</v>
      </c>
      <c r="P102" s="100">
        <f t="shared" si="43"/>
        <v>-17.369077446180725</v>
      </c>
      <c r="Q102" s="100">
        <f t="shared" si="43"/>
        <v>-17.834585632335237</v>
      </c>
    </row>
    <row r="103" spans="4:17" ht="11.25" thickBot="1">
      <c r="D103" s="4" t="str">
        <f>$C$50</f>
        <v>Net Increase / (Decrease) in Cash Held</v>
      </c>
      <c r="J103" s="146">
        <f t="shared" ref="J103:Q103" si="44">SUM(J101:J102)</f>
        <v>23.570976027397268</v>
      </c>
      <c r="K103" s="146">
        <f t="shared" si="44"/>
        <v>12.148336900684914</v>
      </c>
      <c r="L103" s="146">
        <f t="shared" si="44"/>
        <v>12.486971075503874</v>
      </c>
      <c r="M103" s="146">
        <f t="shared" si="44"/>
        <v>12.814444141480319</v>
      </c>
      <c r="N103" s="146">
        <f t="shared" si="44"/>
        <v>18.064268203626661</v>
      </c>
      <c r="O103" s="146">
        <f t="shared" si="44"/>
        <v>13.365078033717339</v>
      </c>
      <c r="P103" s="146">
        <f t="shared" si="44"/>
        <v>13.787616801088642</v>
      </c>
      <c r="Q103" s="146">
        <f t="shared" si="44"/>
        <v>14.149085792645899</v>
      </c>
    </row>
    <row r="104" spans="4:17" ht="11.25" thickTop="1"/>
    <row r="105" spans="4:17" hidden="1" outlineLevel="2">
      <c r="E105" s="114" t="s">
        <v>25</v>
      </c>
      <c r="J105" s="148">
        <f t="shared" ref="J105:Q105" si="45">IF(ISERROR(J31+J39+J48-J50),1,0)</f>
        <v>0</v>
      </c>
      <c r="K105" s="148">
        <f t="shared" si="45"/>
        <v>0</v>
      </c>
      <c r="L105" s="148">
        <f t="shared" si="45"/>
        <v>0</v>
      </c>
      <c r="M105" s="148">
        <f t="shared" si="45"/>
        <v>0</v>
      </c>
      <c r="N105" s="148">
        <f t="shared" si="45"/>
        <v>0</v>
      </c>
      <c r="O105" s="148">
        <f t="shared" si="45"/>
        <v>0</v>
      </c>
      <c r="P105" s="148">
        <f t="shared" si="45"/>
        <v>0</v>
      </c>
      <c r="Q105" s="148">
        <f t="shared" si="45"/>
        <v>0</v>
      </c>
    </row>
    <row r="106" spans="4:17" hidden="1" outlineLevel="2">
      <c r="E106" s="114" t="s">
        <v>27</v>
      </c>
      <c r="J106" s="148">
        <f t="shared" ref="J106:Q106" si="46">IF(ISERROR(J67+J75+J84-J86),1,0)</f>
        <v>0</v>
      </c>
      <c r="K106" s="148">
        <f t="shared" si="46"/>
        <v>0</v>
      </c>
      <c r="L106" s="148">
        <f t="shared" si="46"/>
        <v>0</v>
      </c>
      <c r="M106" s="148">
        <f t="shared" si="46"/>
        <v>0</v>
      </c>
      <c r="N106" s="148">
        <f t="shared" si="46"/>
        <v>0</v>
      </c>
      <c r="O106" s="148">
        <f t="shared" si="46"/>
        <v>0</v>
      </c>
      <c r="P106" s="148">
        <f t="shared" si="46"/>
        <v>0</v>
      </c>
      <c r="Q106" s="148">
        <f t="shared" si="46"/>
        <v>0</v>
      </c>
    </row>
    <row r="107" spans="4:17" hidden="1" outlineLevel="2">
      <c r="E107" s="114" t="s">
        <v>26</v>
      </c>
      <c r="J107" s="149">
        <f t="shared" ref="J107:Q107" si="47">IF(J105&lt;&gt;0,0,IF(ROUND(J31+J39+J48-J50,5)&lt;&gt;0,1,0))</f>
        <v>0</v>
      </c>
      <c r="K107" s="149">
        <f t="shared" si="47"/>
        <v>0</v>
      </c>
      <c r="L107" s="149">
        <f t="shared" si="47"/>
        <v>0</v>
      </c>
      <c r="M107" s="149">
        <f t="shared" si="47"/>
        <v>0</v>
      </c>
      <c r="N107" s="149">
        <f t="shared" si="47"/>
        <v>0</v>
      </c>
      <c r="O107" s="149">
        <f t="shared" si="47"/>
        <v>0</v>
      </c>
      <c r="P107" s="149">
        <f t="shared" si="47"/>
        <v>0</v>
      </c>
      <c r="Q107" s="149">
        <f t="shared" si="47"/>
        <v>0</v>
      </c>
    </row>
    <row r="108" spans="4:17" hidden="1" outlineLevel="2">
      <c r="E108" s="114" t="s">
        <v>28</v>
      </c>
      <c r="J108" s="149">
        <f t="shared" ref="J108:Q108" si="48">IF(J106&lt;&gt;0,0,IF(ROUND(J67+J75+J84-J86,5)&lt;&gt;0,1,0))</f>
        <v>0</v>
      </c>
      <c r="K108" s="149">
        <f t="shared" si="48"/>
        <v>0</v>
      </c>
      <c r="L108" s="149">
        <f t="shared" si="48"/>
        <v>0</v>
      </c>
      <c r="M108" s="149">
        <f t="shared" si="48"/>
        <v>0</v>
      </c>
      <c r="N108" s="149">
        <f t="shared" si="48"/>
        <v>0</v>
      </c>
      <c r="O108" s="149">
        <f t="shared" si="48"/>
        <v>0</v>
      </c>
      <c r="P108" s="149">
        <f t="shared" si="48"/>
        <v>0</v>
      </c>
      <c r="Q108" s="149">
        <f t="shared" si="48"/>
        <v>0</v>
      </c>
    </row>
    <row r="109" spans="4:17" hidden="1" outlineLevel="2">
      <c r="E109" s="114" t="s">
        <v>29</v>
      </c>
      <c r="J109" s="149">
        <f t="shared" ref="J109:Q109" si="49">IF(OR(J105&lt;&gt;0,J106&lt;&gt;0),0,IF(ROUND(J50-J86,5)&lt;&gt;0,1,0))</f>
        <v>0</v>
      </c>
      <c r="K109" s="149">
        <f t="shared" si="49"/>
        <v>0</v>
      </c>
      <c r="L109" s="149">
        <f t="shared" si="49"/>
        <v>0</v>
      </c>
      <c r="M109" s="149">
        <f t="shared" si="49"/>
        <v>0</v>
      </c>
      <c r="N109" s="149">
        <f t="shared" si="49"/>
        <v>0</v>
      </c>
      <c r="O109" s="149">
        <f t="shared" si="49"/>
        <v>0</v>
      </c>
      <c r="P109" s="149">
        <f t="shared" si="49"/>
        <v>0</v>
      </c>
      <c r="Q109" s="149">
        <f t="shared" si="49"/>
        <v>0</v>
      </c>
    </row>
    <row r="110" spans="4:17" hidden="1" outlineLevel="2">
      <c r="E110" s="114" t="s">
        <v>30</v>
      </c>
      <c r="J110" s="131">
        <f t="shared" ref="J110:Q110" si="50">IF(J105&lt;&gt;0,0,IF(ROUND(J86-J103,5)&lt;&gt;0,1,0))</f>
        <v>0</v>
      </c>
      <c r="K110" s="131">
        <f t="shared" si="50"/>
        <v>0</v>
      </c>
      <c r="L110" s="131">
        <f t="shared" si="50"/>
        <v>0</v>
      </c>
      <c r="M110" s="131">
        <f t="shared" si="50"/>
        <v>0</v>
      </c>
      <c r="N110" s="131">
        <f t="shared" si="50"/>
        <v>0</v>
      </c>
      <c r="O110" s="131">
        <f t="shared" si="50"/>
        <v>0</v>
      </c>
      <c r="P110" s="131">
        <f t="shared" si="50"/>
        <v>0</v>
      </c>
      <c r="Q110" s="131">
        <f t="shared" si="50"/>
        <v>0</v>
      </c>
    </row>
    <row r="111" spans="4:17" collapsed="1">
      <c r="D111" s="114" t="s">
        <v>412</v>
      </c>
      <c r="I111" s="104">
        <f>IF(ISERROR(SUM(J111:Q111)),0,MIN(SUM(J111:Q111),1))</f>
        <v>0</v>
      </c>
      <c r="J111" s="101">
        <f t="shared" ref="J111:Q111" si="51">MIN(SUM(J105:J110),1)</f>
        <v>0</v>
      </c>
      <c r="K111" s="101">
        <f t="shared" si="51"/>
        <v>0</v>
      </c>
      <c r="L111" s="101">
        <f t="shared" si="51"/>
        <v>0</v>
      </c>
      <c r="M111" s="101">
        <f t="shared" si="51"/>
        <v>0</v>
      </c>
      <c r="N111" s="101">
        <f t="shared" si="51"/>
        <v>0</v>
      </c>
      <c r="O111" s="101">
        <f t="shared" si="51"/>
        <v>0</v>
      </c>
      <c r="P111" s="101">
        <f t="shared" si="51"/>
        <v>0</v>
      </c>
      <c r="Q111" s="101">
        <f t="shared" si="51"/>
        <v>0</v>
      </c>
    </row>
    <row r="113" spans="3:9" s="16" customFormat="1">
      <c r="C113" s="168" t="s">
        <v>204</v>
      </c>
    </row>
    <row r="114" spans="3:9" s="16" customFormat="1">
      <c r="C114" s="145">
        <v>1</v>
      </c>
      <c r="D114" s="123" t="str">
        <f>"All values are stated in "&amp;INDEX(LU_Denom,DD_TS_Denom)&amp;" unless stated otherwise."</f>
        <v>All values are stated in $Millions unless stated otherwise.</v>
      </c>
    </row>
    <row r="115" spans="3:9" s="16" customFormat="1"/>
    <row r="116" spans="3:9" s="16" customFormat="1">
      <c r="C116" s="113" t="str">
        <f>"Go to "&amp;Err_Chk_11_Hdg</f>
        <v>Go to Income Statement</v>
      </c>
      <c r="D116" s="9"/>
      <c r="E116" s="9"/>
      <c r="F116" s="9"/>
      <c r="G116" s="9"/>
      <c r="H116" s="9"/>
      <c r="I116" s="9"/>
    </row>
    <row r="117" spans="3:9" s="16" customFormat="1">
      <c r="C117" s="113" t="str">
        <f>"Go to "&amp;BS_TO!$B$1</f>
        <v>Go to Balance Sheet</v>
      </c>
      <c r="D117" s="9"/>
      <c r="E117" s="9"/>
      <c r="F117" s="9"/>
      <c r="G117" s="9"/>
      <c r="H117" s="9"/>
      <c r="I117" s="9"/>
    </row>
  </sheetData>
  <mergeCells count="1">
    <mergeCell ref="B3:F3"/>
  </mergeCells>
  <conditionalFormatting sqref="J105:Q111 I111">
    <cfRule type="cellIs" dxfId="39" priority="2" stopIfTrue="1" operator="notEqual">
      <formula>0</formula>
    </cfRule>
  </conditionalFormatting>
  <conditionalFormatting sqref="D111">
    <cfRule type="expression" dxfId="38" priority="1" stopIfTrue="1">
      <formula>I111&lt;&gt;0</formula>
    </cfRule>
  </conditionalFormatting>
  <hyperlinks>
    <hyperlink ref="C116:I116" location="HL_Sheet_Main_35" tooltip="Go to Income Statement" display="HL_Sheet_Main_35"/>
    <hyperlink ref="C117:I117" location="HL_Sheet_Main_36" tooltip="Go to Balance Sheet" display="HL_Sheet_Main_36"/>
    <hyperlink ref="B3" location="HL_Home" tooltip="Go to Table of Contents" display="HL_Home"/>
    <hyperlink ref="A4" location="$B$14" tooltip="Go to Top of Sheet" display="$B$14"/>
    <hyperlink ref="B4" location="HL_Sheet_Main_36" tooltip="Go to Previous Sheet" display="HL_Sheet_Main_36"/>
    <hyperlink ref="C4" location="HL_Sheet_Main_20" tooltip="Go to Next Sheet" display="HL_Sheet_Main_2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95" orientation="landscape" r:id="rId1"/>
  <headerFooter>
    <oddFooter>&amp;L&amp;F
&amp;A
Printed: &amp;T on &amp;D&amp;CPage &amp;P of &amp;N&amp;R&amp;G</oddFooter>
  </headerFooter>
  <rowBreaks count="2" manualBreakCount="2">
    <brk id="52" min="1" max="16" man="1"/>
    <brk id="88" min="1" max="16" man="1"/>
  </rowBreaks>
  <legacyDrawing r:id="rId2"/>
  <legacyDrawingHF r:id="rId3"/>
</worksheet>
</file>

<file path=xl/worksheets/sheet21.xml><?xml version="1.0" encoding="utf-8"?>
<worksheet xmlns="http://schemas.openxmlformats.org/spreadsheetml/2006/main" xmlns:r="http://schemas.openxmlformats.org/officeDocument/2006/relationships">
  <sheetPr codeName="Sheet20">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431</v>
      </c>
    </row>
    <row r="10" spans="3:7" ht="16.5">
      <c r="C10" s="28" t="s">
        <v>528</v>
      </c>
    </row>
    <row r="11" spans="3:7" ht="15">
      <c r="C11" s="2" t="str">
        <f>Model_Name</f>
        <v>SMA 8. Calculation Formulae - Best Practice Model Example</v>
      </c>
    </row>
    <row r="12" spans="3:7">
      <c r="C12" s="245" t="s">
        <v>49</v>
      </c>
      <c r="D12" s="245"/>
      <c r="E12" s="245"/>
      <c r="F12" s="245"/>
      <c r="G12" s="245"/>
    </row>
    <row r="13" spans="3:7" ht="12.75">
      <c r="C13" s="12" t="s">
        <v>54</v>
      </c>
      <c r="D13" s="13" t="s">
        <v>103</v>
      </c>
    </row>
    <row r="17" spans="3:3">
      <c r="C17" s="26" t="s">
        <v>512</v>
      </c>
    </row>
    <row r="18" spans="3:3">
      <c r="C18" s="198" t="s">
        <v>540</v>
      </c>
    </row>
    <row r="19" spans="3:3">
      <c r="C19" s="188"/>
    </row>
    <row r="20" spans="3:3">
      <c r="C20" s="188"/>
    </row>
  </sheetData>
  <mergeCells count="1">
    <mergeCell ref="C12:G12"/>
  </mergeCells>
  <hyperlinks>
    <hyperlink ref="C12" location="HL_Home" tooltip="Go to Table of Contents" display="HL_Home"/>
    <hyperlink ref="C13" location="HL_Sheet_Main_37" tooltip="Go to Previous Sheet" display="HL_Sheet_Main_37"/>
    <hyperlink ref="D13" location="HL_Sheet_Main_19" tooltip="Go to Next Sheet" display="HL_Sheet_Main_1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22.xml><?xml version="1.0" encoding="utf-8"?>
<worksheet xmlns="http://schemas.openxmlformats.org/spreadsheetml/2006/main" xmlns:r="http://schemas.openxmlformats.org/officeDocument/2006/relationships">
  <sheetPr codeName="Sheet21">
    <pageSetUpPr autoPageBreaks="0" fitToPage="1"/>
  </sheetPr>
  <dimension ref="A1:BE64"/>
  <sheetViews>
    <sheetView showGridLines="0" zoomScaleNormal="100" workbookViewId="0">
      <pane xSplit="1" ySplit="4" topLeftCell="B5" activePane="bottomRight" state="frozen"/>
      <selection activeCell="Q57" sqref="Q57"/>
      <selection pane="topRight" activeCell="Q57" sqref="Q57"/>
      <selection pane="bottomLeft" activeCell="Q57" sqref="Q57"/>
      <selection pane="bottomRight"/>
    </sheetView>
  </sheetViews>
  <sheetFormatPr defaultColWidth="2.33203125" defaultRowHeight="10.5"/>
  <cols>
    <col min="1" max="1" width="3.83203125" style="29" customWidth="1"/>
    <col min="2" max="11" width="2.5" style="29" customWidth="1"/>
    <col min="12" max="19" width="11.83203125" style="29" customWidth="1"/>
    <col min="20" max="21" width="2.33203125" style="29"/>
    <col min="22" max="31" width="2.5" style="29" customWidth="1"/>
    <col min="32" max="39" width="11.83203125" style="29" customWidth="1"/>
    <col min="40" max="41" width="2.33203125" style="29"/>
    <col min="42" max="45" width="3.83203125" style="29" customWidth="1"/>
    <col min="46" max="57" width="11.83203125" style="29" customWidth="1"/>
    <col min="58" max="16384" width="2.33203125" style="29"/>
  </cols>
  <sheetData>
    <row r="1" spans="1:57" ht="18">
      <c r="B1" s="31" t="s">
        <v>435</v>
      </c>
    </row>
    <row r="2" spans="1:57" ht="15">
      <c r="B2" s="30" t="str">
        <f>Model_Name</f>
        <v>SMA 8. Calculation Formulae - Best Practice Model Example</v>
      </c>
    </row>
    <row r="3" spans="1:57">
      <c r="B3" s="264" t="s">
        <v>49</v>
      </c>
      <c r="C3" s="264"/>
      <c r="D3" s="264"/>
      <c r="E3" s="264"/>
      <c r="F3" s="264"/>
      <c r="G3" s="264"/>
      <c r="H3" s="264"/>
      <c r="I3" s="264"/>
      <c r="J3" s="264"/>
      <c r="K3" s="264"/>
      <c r="L3" s="118"/>
    </row>
    <row r="4" spans="1:57" ht="12.75">
      <c r="A4" s="32" t="s">
        <v>52</v>
      </c>
      <c r="B4" s="265" t="s">
        <v>54</v>
      </c>
      <c r="C4" s="265"/>
      <c r="D4" s="266" t="s">
        <v>103</v>
      </c>
      <c r="E4" s="266"/>
      <c r="F4" s="263" t="s">
        <v>206</v>
      </c>
      <c r="G4" s="263"/>
      <c r="H4" s="263" t="s">
        <v>207</v>
      </c>
      <c r="I4" s="263"/>
      <c r="J4" s="263" t="s">
        <v>208</v>
      </c>
      <c r="K4" s="263"/>
    </row>
    <row r="7" spans="1:57" ht="11.25">
      <c r="B7" s="310" t="s">
        <v>48</v>
      </c>
      <c r="C7" s="311"/>
      <c r="D7" s="311"/>
      <c r="E7" s="311"/>
      <c r="F7" s="311"/>
      <c r="G7" s="311"/>
      <c r="H7" s="311"/>
      <c r="I7" s="311"/>
      <c r="J7" s="311"/>
      <c r="K7" s="311"/>
      <c r="L7" s="311"/>
      <c r="M7" s="311"/>
      <c r="N7" s="311"/>
      <c r="O7" s="311"/>
      <c r="P7" s="311"/>
      <c r="Q7" s="311"/>
      <c r="R7" s="311"/>
      <c r="S7" s="312"/>
      <c r="V7" s="303" t="s">
        <v>432</v>
      </c>
      <c r="W7" s="303"/>
      <c r="X7" s="303"/>
      <c r="Y7" s="303"/>
      <c r="Z7" s="303"/>
      <c r="AA7" s="303"/>
      <c r="AB7" s="303"/>
      <c r="AC7" s="303"/>
      <c r="AD7" s="303"/>
      <c r="AE7" s="303"/>
      <c r="AF7" s="303"/>
      <c r="AG7" s="303"/>
      <c r="AH7" s="303"/>
      <c r="AI7" s="303"/>
      <c r="AJ7" s="303"/>
      <c r="AK7" s="303"/>
      <c r="AL7" s="303"/>
      <c r="AM7" s="303"/>
      <c r="AP7" s="165" t="str">
        <f>IF(TS_Periodicity=Annual,IS_TO!$B$7,IS_TO!$B$6)</f>
        <v>Year Ending 31 December</v>
      </c>
      <c r="AQ7" s="164"/>
      <c r="AR7" s="18"/>
      <c r="AS7" s="18"/>
      <c r="AT7" s="18"/>
      <c r="AU7" s="18"/>
      <c r="AV7" s="18"/>
      <c r="AW7" s="18"/>
      <c r="AX7" s="167" t="str">
        <f>IF(TS_Periodicity=Annual,IS_TO!J$7,IS_TO!J$6)</f>
        <v xml:space="preserve">2010 (F) </v>
      </c>
      <c r="AY7" s="167" t="str">
        <f>IF(TS_Periodicity=Annual,IS_TO!K$7,IS_TO!K$6)</f>
        <v xml:space="preserve">2011 (F) </v>
      </c>
      <c r="AZ7" s="167" t="str">
        <f>IF(TS_Periodicity=Annual,IS_TO!L$7,IS_TO!L$6)</f>
        <v xml:space="preserve">2012 (F) </v>
      </c>
      <c r="BA7" s="167" t="str">
        <f>IF(TS_Periodicity=Annual,IS_TO!M$7,IS_TO!M$6)</f>
        <v xml:space="preserve">2013 (F) </v>
      </c>
      <c r="BB7" s="167" t="str">
        <f>IF(TS_Periodicity=Annual,IS_TO!N$7,IS_TO!N$6)</f>
        <v xml:space="preserve">2014 (F) </v>
      </c>
      <c r="BC7" s="167" t="str">
        <f>IF(TS_Periodicity=Annual,IS_TO!O$7,IS_TO!O$6)</f>
        <v xml:space="preserve">2015 (F) </v>
      </c>
      <c r="BD7" s="167" t="str">
        <f>IF(TS_Periodicity=Annual,IS_TO!P$7,IS_TO!P$6)</f>
        <v xml:space="preserve">2016 (F) </v>
      </c>
      <c r="BE7" s="167" t="str">
        <f>IF(TS_Periodicity=Annual,IS_TO!Q$7,IS_TO!Q$6)</f>
        <v xml:space="preserve">2017 (F) </v>
      </c>
    </row>
    <row r="8" spans="1:57">
      <c r="B8" s="155"/>
      <c r="C8" s="155"/>
      <c r="D8" s="155"/>
      <c r="E8" s="155"/>
      <c r="F8" s="155"/>
      <c r="G8" s="155"/>
      <c r="H8" s="155"/>
      <c r="I8" s="155"/>
      <c r="J8" s="155"/>
      <c r="K8" s="155"/>
      <c r="L8" s="155"/>
      <c r="M8" s="155"/>
      <c r="N8" s="155"/>
      <c r="O8" s="155"/>
      <c r="P8" s="155"/>
      <c r="Q8" s="155"/>
      <c r="R8" s="155"/>
      <c r="S8" s="155"/>
      <c r="V8" s="174"/>
      <c r="W8" s="174"/>
      <c r="X8" s="174"/>
      <c r="Y8" s="174"/>
      <c r="Z8" s="174"/>
      <c r="AA8" s="174"/>
      <c r="AB8" s="174"/>
      <c r="AC8" s="174"/>
      <c r="AD8" s="174"/>
      <c r="AE8" s="174"/>
      <c r="AF8" s="174"/>
      <c r="AG8" s="174"/>
      <c r="AH8" s="174"/>
      <c r="AI8" s="174"/>
      <c r="AJ8" s="174"/>
      <c r="AK8" s="174"/>
      <c r="AL8" s="174"/>
      <c r="AM8" s="174"/>
    </row>
    <row r="9" spans="1:57">
      <c r="B9" s="156" t="str">
        <f>IF(TS_Periodicity=Annual,IS_TO!$B$7,IS_TO!$B$6)</f>
        <v>Year Ending 31 December</v>
      </c>
      <c r="C9" s="155"/>
      <c r="D9" s="155"/>
      <c r="E9" s="155"/>
      <c r="F9" s="155"/>
      <c r="G9" s="155"/>
      <c r="H9" s="155"/>
      <c r="I9" s="155"/>
      <c r="J9" s="155"/>
      <c r="K9" s="155"/>
      <c r="L9" s="155"/>
      <c r="M9" s="155"/>
      <c r="N9" s="157" t="str">
        <f>IF(TS_Periodicity=Annual,IS_TO!J$7,IS_TO!J$6)</f>
        <v xml:space="preserve">2010 (F) </v>
      </c>
      <c r="O9" s="157" t="str">
        <f>IF(TS_Periodicity=Annual,IS_TO!K$7,IS_TO!K$6)</f>
        <v xml:space="preserve">2011 (F) </v>
      </c>
      <c r="P9" s="157" t="str">
        <f>IF(TS_Periodicity=Annual,IS_TO!L$7,IS_TO!L$6)</f>
        <v xml:space="preserve">2012 (F) </v>
      </c>
      <c r="Q9" s="157" t="str">
        <f>IF(TS_Periodicity=Annual,IS_TO!M$7,IS_TO!M$6)</f>
        <v xml:space="preserve">2013 (F) </v>
      </c>
      <c r="R9" s="157" t="str">
        <f>IF(TS_Periodicity=Annual,IS_TO!N$7,IS_TO!N$6)</f>
        <v xml:space="preserve">2014 (F) </v>
      </c>
      <c r="S9" s="157" t="str">
        <f>IF(TS_Periodicity=Annual,IS_TO!O$7,IS_TO!O$6)</f>
        <v xml:space="preserve">2015 (F) </v>
      </c>
      <c r="V9" s="174"/>
      <c r="W9" s="174"/>
      <c r="X9" s="174"/>
      <c r="Y9" s="174"/>
      <c r="Z9" s="174"/>
      <c r="AA9" s="174"/>
      <c r="AB9" s="174"/>
      <c r="AC9" s="174"/>
      <c r="AD9" s="174"/>
      <c r="AE9" s="174"/>
      <c r="AF9" s="174"/>
      <c r="AG9" s="174"/>
      <c r="AH9" s="174"/>
      <c r="AI9" s="174"/>
      <c r="AJ9" s="174"/>
      <c r="AK9" s="174"/>
      <c r="AL9" s="174"/>
      <c r="AM9" s="174"/>
      <c r="AP9" s="179" t="s">
        <v>445</v>
      </c>
    </row>
    <row r="10" spans="1:57">
      <c r="B10" s="155"/>
      <c r="C10" s="155"/>
      <c r="D10" s="155"/>
      <c r="E10" s="155"/>
      <c r="F10" s="155"/>
      <c r="G10" s="155"/>
      <c r="H10" s="155"/>
      <c r="I10" s="155"/>
      <c r="J10" s="155"/>
      <c r="K10" s="155"/>
      <c r="L10" s="155"/>
      <c r="M10" s="155"/>
      <c r="N10" s="155"/>
      <c r="O10" s="155"/>
      <c r="P10" s="155"/>
      <c r="Q10" s="155"/>
      <c r="R10" s="155"/>
      <c r="S10" s="155"/>
      <c r="V10" s="174"/>
      <c r="W10" s="174"/>
      <c r="X10" s="174"/>
      <c r="Y10" s="174"/>
      <c r="Z10" s="174"/>
      <c r="AA10" s="174"/>
      <c r="AB10" s="174"/>
      <c r="AC10" s="174"/>
      <c r="AD10" s="174"/>
      <c r="AE10" s="174"/>
      <c r="AF10" s="174"/>
      <c r="AG10" s="174"/>
      <c r="AH10" s="174"/>
      <c r="AI10" s="174"/>
      <c r="AJ10" s="174"/>
      <c r="AK10" s="174"/>
      <c r="AL10" s="174"/>
      <c r="AM10" s="174"/>
    </row>
    <row r="11" spans="1:57">
      <c r="B11" s="158" t="str">
        <f>IS_TO!D18</f>
        <v>Revenue</v>
      </c>
      <c r="C11" s="155"/>
      <c r="D11" s="155"/>
      <c r="E11" s="155"/>
      <c r="F11" s="155"/>
      <c r="G11" s="155"/>
      <c r="H11" s="155"/>
      <c r="I11" s="155"/>
      <c r="J11" s="155"/>
      <c r="K11" s="155"/>
      <c r="L11" s="155"/>
      <c r="M11" s="155"/>
      <c r="N11" s="159">
        <f>IS_TO!J18</f>
        <v>125</v>
      </c>
      <c r="O11" s="159">
        <f>IS_TO!K18</f>
        <v>128.125</v>
      </c>
      <c r="P11" s="159">
        <f>IS_TO!L18</f>
        <v>131.328125</v>
      </c>
      <c r="Q11" s="159">
        <f>IS_TO!M18</f>
        <v>134.611328125</v>
      </c>
      <c r="R11" s="159">
        <f>IS_TO!N18</f>
        <v>137.97661132812499</v>
      </c>
      <c r="S11" s="159">
        <f>IS_TO!O18</f>
        <v>141.4260266113281</v>
      </c>
      <c r="V11" s="174"/>
      <c r="W11" s="174"/>
      <c r="X11" s="174"/>
      <c r="Y11" s="174"/>
      <c r="Z11" s="174"/>
      <c r="AA11" s="174"/>
      <c r="AB11" s="174"/>
      <c r="AC11" s="174"/>
      <c r="AD11" s="174"/>
      <c r="AE11" s="174"/>
      <c r="AF11" s="174"/>
      <c r="AG11" s="174"/>
      <c r="AH11" s="174"/>
      <c r="AI11" s="174"/>
      <c r="AJ11" s="174"/>
      <c r="AK11" s="174"/>
      <c r="AL11" s="174"/>
      <c r="AM11" s="174"/>
      <c r="AQ11" s="179" t="s">
        <v>350</v>
      </c>
      <c r="AU11" s="5" t="str">
        <f>Fcast_TO!C18</f>
        <v>Revenue</v>
      </c>
    </row>
    <row r="12" spans="1:57">
      <c r="B12" s="189" t="str">
        <f>IS_TO!D19</f>
        <v>Cost of Goods Sold</v>
      </c>
      <c r="N12" s="159">
        <f>IS_TO!J19</f>
        <v>-25</v>
      </c>
      <c r="O12" s="159">
        <f>IS_TO!K19</f>
        <v>-25.624999999999996</v>
      </c>
      <c r="P12" s="159">
        <f>IS_TO!L19</f>
        <v>-26.265624999999993</v>
      </c>
      <c r="Q12" s="159">
        <f>IS_TO!M19</f>
        <v>-26.922265624999991</v>
      </c>
      <c r="R12" s="159">
        <f>IS_TO!N19</f>
        <v>-27.59532226562499</v>
      </c>
      <c r="S12" s="159">
        <f>IS_TO!O19</f>
        <v>-28.285205322265611</v>
      </c>
      <c r="V12" s="174"/>
      <c r="W12" s="174"/>
      <c r="X12" s="174"/>
      <c r="Y12" s="174"/>
      <c r="Z12" s="174"/>
      <c r="AA12" s="174"/>
      <c r="AB12" s="174"/>
      <c r="AC12" s="174"/>
      <c r="AD12" s="174"/>
      <c r="AE12" s="174"/>
      <c r="AF12" s="174"/>
      <c r="AG12" s="174"/>
      <c r="AH12" s="174"/>
      <c r="AI12" s="174"/>
      <c r="AJ12" s="174"/>
      <c r="AK12" s="174"/>
      <c r="AL12" s="174"/>
      <c r="AM12" s="174"/>
    </row>
    <row r="13" spans="1:57">
      <c r="B13" s="191" t="str">
        <f>IS_TO!C21</f>
        <v>Gross Margin</v>
      </c>
      <c r="N13" s="160">
        <f>SUM(N11:N12)</f>
        <v>100</v>
      </c>
      <c r="O13" s="160">
        <f t="shared" ref="O13:S13" si="0">SUM(O11:O12)</f>
        <v>102.5</v>
      </c>
      <c r="P13" s="160">
        <f t="shared" si="0"/>
        <v>105.0625</v>
      </c>
      <c r="Q13" s="160">
        <f t="shared" si="0"/>
        <v>107.68906250000001</v>
      </c>
      <c r="R13" s="160">
        <f t="shared" si="0"/>
        <v>110.3812890625</v>
      </c>
      <c r="S13" s="160">
        <f t="shared" si="0"/>
        <v>113.14082128906249</v>
      </c>
      <c r="V13" s="174"/>
      <c r="W13" s="174"/>
      <c r="X13" s="174"/>
      <c r="Y13" s="174"/>
      <c r="Z13" s="174"/>
      <c r="AA13" s="174"/>
      <c r="AB13" s="174"/>
      <c r="AC13" s="174"/>
      <c r="AD13" s="174"/>
      <c r="AE13" s="174"/>
      <c r="AF13" s="174"/>
      <c r="AG13" s="174"/>
      <c r="AH13" s="174"/>
      <c r="AI13" s="174"/>
      <c r="AJ13" s="174"/>
      <c r="AK13" s="174"/>
      <c r="AL13" s="174"/>
      <c r="AM13" s="174"/>
      <c r="AQ13" s="5" t="str">
        <f>Fcast_TO!C18</f>
        <v>Revenue</v>
      </c>
      <c r="AX13" s="101">
        <f>Fcast_TO!J18</f>
        <v>125</v>
      </c>
      <c r="AY13" s="101">
        <f>Fcast_TO!K18</f>
        <v>128.125</v>
      </c>
      <c r="AZ13" s="101">
        <f>Fcast_TO!L18</f>
        <v>131.328125</v>
      </c>
      <c r="BA13" s="101">
        <f>Fcast_TO!M18</f>
        <v>134.611328125</v>
      </c>
      <c r="BB13" s="101">
        <f>Fcast_TO!N18</f>
        <v>137.97661132812499</v>
      </c>
      <c r="BC13" s="101">
        <f>Fcast_TO!O18</f>
        <v>141.4260266113281</v>
      </c>
      <c r="BD13" s="101">
        <f>Fcast_TO!P18</f>
        <v>144.96167727661128</v>
      </c>
      <c r="BE13" s="101">
        <f>Fcast_TO!Q18</f>
        <v>148.58571920852654</v>
      </c>
    </row>
    <row r="14" spans="1:57">
      <c r="B14" s="158" t="str">
        <f>IS_TO!D23</f>
        <v>Operating Expenditure</v>
      </c>
      <c r="C14" s="155"/>
      <c r="D14" s="155"/>
      <c r="E14" s="155"/>
      <c r="F14" s="155"/>
      <c r="G14" s="155"/>
      <c r="H14" s="155"/>
      <c r="I14" s="155"/>
      <c r="J14" s="155"/>
      <c r="K14" s="155"/>
      <c r="L14" s="155"/>
      <c r="M14" s="155"/>
      <c r="N14" s="159">
        <f>IS_TO!J23</f>
        <v>-40</v>
      </c>
      <c r="O14" s="159">
        <f>IS_TO!K23</f>
        <v>-41</v>
      </c>
      <c r="P14" s="159">
        <f>IS_TO!L23</f>
        <v>-42.024999999999999</v>
      </c>
      <c r="Q14" s="159">
        <f>IS_TO!M23</f>
        <v>-43.075624999999995</v>
      </c>
      <c r="R14" s="159">
        <f>IS_TO!N23</f>
        <v>-44.152515624999992</v>
      </c>
      <c r="S14" s="159">
        <f>IS_TO!O23</f>
        <v>-45.256328515624986</v>
      </c>
      <c r="V14" s="174"/>
      <c r="W14" s="174"/>
      <c r="X14" s="174"/>
      <c r="Y14" s="174"/>
      <c r="Z14" s="174"/>
      <c r="AA14" s="174"/>
      <c r="AB14" s="174"/>
      <c r="AC14" s="174"/>
      <c r="AD14" s="174"/>
      <c r="AE14" s="174"/>
      <c r="AF14" s="174"/>
      <c r="AG14" s="174"/>
      <c r="AH14" s="174"/>
      <c r="AI14" s="174"/>
      <c r="AJ14" s="174"/>
      <c r="AK14" s="174"/>
      <c r="AL14" s="174"/>
      <c r="AM14" s="174"/>
    </row>
    <row r="15" spans="1:57">
      <c r="B15" s="190" t="str">
        <f>IS_TO!C25</f>
        <v>EBITDA</v>
      </c>
      <c r="C15" s="155"/>
      <c r="D15" s="155"/>
      <c r="E15" s="155"/>
      <c r="F15" s="155"/>
      <c r="G15" s="155"/>
      <c r="H15" s="155"/>
      <c r="I15" s="155"/>
      <c r="J15" s="155"/>
      <c r="K15" s="155"/>
      <c r="L15" s="155"/>
      <c r="M15" s="155"/>
      <c r="N15" s="160">
        <f>SUM(N13:N14)</f>
        <v>60</v>
      </c>
      <c r="O15" s="160">
        <f t="shared" ref="O15:S15" si="1">SUM(O13:O14)</f>
        <v>61.5</v>
      </c>
      <c r="P15" s="160">
        <f t="shared" si="1"/>
        <v>63.037500000000001</v>
      </c>
      <c r="Q15" s="160">
        <f t="shared" si="1"/>
        <v>64.613437500000003</v>
      </c>
      <c r="R15" s="160">
        <f t="shared" si="1"/>
        <v>66.22877343750001</v>
      </c>
      <c r="S15" s="160">
        <f t="shared" si="1"/>
        <v>67.884492773437501</v>
      </c>
      <c r="V15" s="174"/>
      <c r="W15" s="174"/>
      <c r="X15" s="174"/>
      <c r="Y15" s="174"/>
      <c r="Z15" s="174"/>
      <c r="AA15" s="174"/>
      <c r="AB15" s="174"/>
      <c r="AC15" s="174"/>
      <c r="AD15" s="174"/>
      <c r="AE15" s="174"/>
      <c r="AF15" s="174"/>
      <c r="AG15" s="174"/>
      <c r="AH15" s="174"/>
      <c r="AI15" s="174"/>
      <c r="AJ15" s="174"/>
      <c r="AK15" s="174"/>
      <c r="AL15" s="174"/>
      <c r="AM15" s="174"/>
      <c r="AP15" s="179" t="s">
        <v>446</v>
      </c>
    </row>
    <row r="16" spans="1:57">
      <c r="B16" s="158" t="str">
        <f>IS_TO!D29</f>
        <v>Depreciation &amp; Amortization</v>
      </c>
      <c r="C16" s="155"/>
      <c r="D16" s="155"/>
      <c r="E16" s="155"/>
      <c r="F16" s="155"/>
      <c r="G16" s="155"/>
      <c r="H16" s="155"/>
      <c r="I16" s="155"/>
      <c r="J16" s="155"/>
      <c r="K16" s="155"/>
      <c r="L16" s="155"/>
      <c r="M16" s="155"/>
      <c r="N16" s="159">
        <f>IS_TO!J29</f>
        <v>-14.125</v>
      </c>
      <c r="O16" s="159">
        <f>IS_TO!K29</f>
        <v>-14.478124999999999</v>
      </c>
      <c r="P16" s="159">
        <f>IS_TO!L29</f>
        <v>-14.840078124999996</v>
      </c>
      <c r="Q16" s="159">
        <f>IS_TO!M29</f>
        <v>-15.211080078124994</v>
      </c>
      <c r="R16" s="159">
        <f>IS_TO!N29</f>
        <v>-15.591357080078117</v>
      </c>
      <c r="S16" s="159">
        <f>IS_TO!O29</f>
        <v>-15.981141007080069</v>
      </c>
      <c r="V16" s="174"/>
      <c r="W16" s="174"/>
      <c r="X16" s="174"/>
      <c r="Y16" s="174"/>
      <c r="Z16" s="174"/>
      <c r="AA16" s="174"/>
      <c r="AB16" s="174"/>
      <c r="AC16" s="174"/>
      <c r="AD16" s="174"/>
      <c r="AE16" s="174"/>
      <c r="AF16" s="174"/>
      <c r="AG16" s="174"/>
      <c r="AH16" s="174"/>
      <c r="AI16" s="174"/>
      <c r="AJ16" s="174"/>
      <c r="AK16" s="174"/>
      <c r="AL16" s="174"/>
      <c r="AM16" s="174"/>
    </row>
    <row r="17" spans="2:57">
      <c r="B17" s="190" t="str">
        <f>IS_TO!C31</f>
        <v>EBIT</v>
      </c>
      <c r="C17" s="155"/>
      <c r="D17" s="155"/>
      <c r="E17" s="155"/>
      <c r="F17" s="155"/>
      <c r="G17" s="155"/>
      <c r="H17" s="155"/>
      <c r="I17" s="155"/>
      <c r="J17" s="155"/>
      <c r="K17" s="155"/>
      <c r="L17" s="155"/>
      <c r="M17" s="155"/>
      <c r="N17" s="160">
        <f>SUM(N15:N16)</f>
        <v>45.875</v>
      </c>
      <c r="O17" s="160">
        <f t="shared" ref="O17:S17" si="2">SUM(O15:O16)</f>
        <v>47.021875000000001</v>
      </c>
      <c r="P17" s="160">
        <f t="shared" si="2"/>
        <v>48.197421875000003</v>
      </c>
      <c r="Q17" s="160">
        <f t="shared" si="2"/>
        <v>49.40235742187501</v>
      </c>
      <c r="R17" s="160">
        <f t="shared" si="2"/>
        <v>50.637416357421891</v>
      </c>
      <c r="S17" s="160">
        <f t="shared" si="2"/>
        <v>51.903351766357432</v>
      </c>
      <c r="V17" s="174"/>
      <c r="W17" s="174"/>
      <c r="X17" s="174"/>
      <c r="Y17" s="174"/>
      <c r="Z17" s="174"/>
      <c r="AA17" s="174"/>
      <c r="AB17" s="174"/>
      <c r="AC17" s="174"/>
      <c r="AD17" s="174"/>
      <c r="AE17" s="174"/>
      <c r="AF17" s="174"/>
      <c r="AG17" s="174"/>
      <c r="AH17" s="174"/>
      <c r="AI17" s="174"/>
      <c r="AJ17" s="174"/>
      <c r="AK17" s="174"/>
      <c r="AL17" s="174"/>
      <c r="AM17" s="174"/>
      <c r="AQ17" s="179" t="s">
        <v>350</v>
      </c>
      <c r="AU17" s="5" t="str">
        <f>Fcast_TO!C19</f>
        <v>Cost of Goods Sold</v>
      </c>
    </row>
    <row r="18" spans="2:57">
      <c r="B18" s="158" t="str">
        <f>IS_TO!D33</f>
        <v>Interest Expense</v>
      </c>
      <c r="C18" s="155"/>
      <c r="D18" s="155"/>
      <c r="E18" s="155"/>
      <c r="F18" s="155"/>
      <c r="G18" s="155"/>
      <c r="H18" s="155"/>
      <c r="I18" s="155"/>
      <c r="J18" s="155"/>
      <c r="K18" s="155"/>
      <c r="L18" s="155"/>
      <c r="M18" s="155"/>
      <c r="N18" s="159">
        <f>IS_TO!J33</f>
        <v>-3.25</v>
      </c>
      <c r="O18" s="159">
        <f>IS_TO!K33</f>
        <v>-3.25</v>
      </c>
      <c r="P18" s="159">
        <f>IS_TO!L33</f>
        <v>-3.25</v>
      </c>
      <c r="Q18" s="159">
        <f>IS_TO!M33</f>
        <v>-3.25</v>
      </c>
      <c r="R18" s="159">
        <f>IS_TO!N33</f>
        <v>-3.4125000000000001</v>
      </c>
      <c r="S18" s="159">
        <f>IS_TO!O33</f>
        <v>-3.5750000000000002</v>
      </c>
      <c r="V18" s="174"/>
      <c r="W18" s="174"/>
      <c r="X18" s="174"/>
      <c r="Y18" s="174"/>
      <c r="Z18" s="174"/>
      <c r="AA18" s="174"/>
      <c r="AB18" s="174"/>
      <c r="AC18" s="174"/>
      <c r="AD18" s="174"/>
      <c r="AE18" s="174"/>
      <c r="AF18" s="174"/>
      <c r="AG18" s="174"/>
      <c r="AH18" s="174"/>
      <c r="AI18" s="174"/>
      <c r="AJ18" s="174"/>
      <c r="AK18" s="174"/>
      <c r="AL18" s="174"/>
      <c r="AM18" s="174"/>
    </row>
    <row r="19" spans="2:57">
      <c r="B19" s="190" t="str">
        <f>IS_TO!C35</f>
        <v>Net Profit Before Tax</v>
      </c>
      <c r="C19" s="155"/>
      <c r="D19" s="155"/>
      <c r="E19" s="155"/>
      <c r="F19" s="155"/>
      <c r="G19" s="155"/>
      <c r="H19" s="155"/>
      <c r="I19" s="155"/>
      <c r="J19" s="155"/>
      <c r="K19" s="155"/>
      <c r="L19" s="155"/>
      <c r="M19" s="155"/>
      <c r="N19" s="160">
        <f>SUM(N17:N18)</f>
        <v>42.625</v>
      </c>
      <c r="O19" s="160">
        <f t="shared" ref="O19:S19" si="3">SUM(O17:O18)</f>
        <v>43.771875000000001</v>
      </c>
      <c r="P19" s="160">
        <f t="shared" si="3"/>
        <v>44.947421875000003</v>
      </c>
      <c r="Q19" s="160">
        <f t="shared" si="3"/>
        <v>46.15235742187501</v>
      </c>
      <c r="R19" s="160">
        <f t="shared" si="3"/>
        <v>47.22491635742189</v>
      </c>
      <c r="S19" s="160">
        <f t="shared" si="3"/>
        <v>48.328351766357429</v>
      </c>
      <c r="V19" s="174"/>
      <c r="W19" s="174"/>
      <c r="X19" s="174"/>
      <c r="Y19" s="174"/>
      <c r="Z19" s="174"/>
      <c r="AA19" s="174"/>
      <c r="AB19" s="174"/>
      <c r="AC19" s="174"/>
      <c r="AD19" s="174"/>
      <c r="AE19" s="174"/>
      <c r="AF19" s="174"/>
      <c r="AG19" s="174"/>
      <c r="AH19" s="174"/>
      <c r="AI19" s="174"/>
      <c r="AJ19" s="174"/>
      <c r="AK19" s="174"/>
      <c r="AL19" s="174"/>
      <c r="AM19" s="174"/>
      <c r="AQ19" s="5" t="str">
        <f>Fcast_TO!C19</f>
        <v>Cost of Goods Sold</v>
      </c>
      <c r="AX19" s="101">
        <f>Fcast_TO!J19</f>
        <v>25</v>
      </c>
      <c r="AY19" s="101">
        <f>Fcast_TO!K19</f>
        <v>25.624999999999996</v>
      </c>
      <c r="AZ19" s="101">
        <f>Fcast_TO!L19</f>
        <v>26.265624999999993</v>
      </c>
      <c r="BA19" s="101">
        <f>Fcast_TO!M19</f>
        <v>26.922265624999991</v>
      </c>
      <c r="BB19" s="101">
        <f>Fcast_TO!N19</f>
        <v>27.59532226562499</v>
      </c>
      <c r="BC19" s="101">
        <f>Fcast_TO!O19</f>
        <v>28.285205322265611</v>
      </c>
      <c r="BD19" s="101">
        <f>Fcast_TO!P19</f>
        <v>28.992335455322248</v>
      </c>
      <c r="BE19" s="101">
        <f>Fcast_TO!Q19</f>
        <v>29.717143841705301</v>
      </c>
    </row>
    <row r="20" spans="2:57">
      <c r="B20" s="158" t="str">
        <f>IS_TO!D37</f>
        <v>Tax Expense / (Benefit)</v>
      </c>
      <c r="C20" s="155"/>
      <c r="D20" s="155"/>
      <c r="E20" s="155"/>
      <c r="F20" s="155"/>
      <c r="G20" s="155"/>
      <c r="H20" s="155"/>
      <c r="I20" s="155"/>
      <c r="J20" s="155"/>
      <c r="K20" s="155"/>
      <c r="L20" s="155"/>
      <c r="M20" s="155"/>
      <c r="N20" s="159">
        <f>IS_TO!J37</f>
        <v>-12.7875</v>
      </c>
      <c r="O20" s="159">
        <f>IS_TO!K37</f>
        <v>-13.131562499999999</v>
      </c>
      <c r="P20" s="159">
        <f>IS_TO!L37</f>
        <v>-13.4842265625</v>
      </c>
      <c r="Q20" s="159">
        <f>IS_TO!M37</f>
        <v>-13.845707226562503</v>
      </c>
      <c r="R20" s="159">
        <f>IS_TO!N37</f>
        <v>-14.167474907226566</v>
      </c>
      <c r="S20" s="159">
        <f>IS_TO!O37</f>
        <v>-14.498505529907227</v>
      </c>
      <c r="V20" s="174"/>
      <c r="W20" s="174"/>
      <c r="X20" s="174"/>
      <c r="Y20" s="174"/>
      <c r="Z20" s="174"/>
      <c r="AA20" s="174"/>
      <c r="AB20" s="174"/>
      <c r="AC20" s="174"/>
      <c r="AD20" s="174"/>
      <c r="AE20" s="174"/>
      <c r="AF20" s="174"/>
      <c r="AG20" s="174"/>
      <c r="AH20" s="174"/>
      <c r="AI20" s="174"/>
      <c r="AJ20" s="174"/>
      <c r="AK20" s="174"/>
      <c r="AL20" s="174"/>
      <c r="AM20" s="174"/>
    </row>
    <row r="21" spans="2:57" ht="11.25" thickBot="1">
      <c r="B21" s="190" t="str">
        <f>IS_TO!C39</f>
        <v>Net Profit After Tax</v>
      </c>
      <c r="C21" s="155"/>
      <c r="D21" s="155"/>
      <c r="E21" s="155"/>
      <c r="F21" s="155"/>
      <c r="G21" s="155"/>
      <c r="H21" s="155"/>
      <c r="I21" s="155"/>
      <c r="J21" s="155"/>
      <c r="K21" s="155"/>
      <c r="L21" s="155"/>
      <c r="M21" s="155"/>
      <c r="N21" s="161">
        <f>SUM(N19:N20)</f>
        <v>29.837499999999999</v>
      </c>
      <c r="O21" s="161">
        <f t="shared" ref="O21:S21" si="4">SUM(O19:O20)</f>
        <v>30.6403125</v>
      </c>
      <c r="P21" s="161">
        <f t="shared" si="4"/>
        <v>31.463195312500005</v>
      </c>
      <c r="Q21" s="161">
        <f t="shared" si="4"/>
        <v>32.306650195312507</v>
      </c>
      <c r="R21" s="161">
        <f t="shared" si="4"/>
        <v>33.057441450195327</v>
      </c>
      <c r="S21" s="161">
        <f t="shared" si="4"/>
        <v>33.829846236450202</v>
      </c>
      <c r="V21" s="174"/>
      <c r="W21" s="174"/>
      <c r="X21" s="174"/>
      <c r="Y21" s="174"/>
      <c r="Z21" s="174"/>
      <c r="AA21" s="174"/>
      <c r="AB21" s="174"/>
      <c r="AC21" s="174"/>
      <c r="AD21" s="174"/>
      <c r="AE21" s="174"/>
      <c r="AF21" s="174"/>
      <c r="AG21" s="174"/>
      <c r="AH21" s="174"/>
      <c r="AI21" s="174"/>
      <c r="AJ21" s="174"/>
      <c r="AK21" s="174"/>
      <c r="AL21" s="174"/>
      <c r="AM21" s="174"/>
      <c r="AP21" s="179" t="s">
        <v>452</v>
      </c>
    </row>
    <row r="22" spans="2:57" ht="11.25" thickTop="1">
      <c r="V22" s="174"/>
      <c r="W22" s="174"/>
      <c r="X22" s="174"/>
      <c r="Y22" s="174"/>
      <c r="Z22" s="174"/>
      <c r="AA22" s="174"/>
      <c r="AB22" s="174"/>
      <c r="AC22" s="174"/>
      <c r="AD22" s="174"/>
      <c r="AE22" s="174"/>
      <c r="AF22" s="174"/>
      <c r="AG22" s="174"/>
      <c r="AH22" s="174"/>
      <c r="AI22" s="174"/>
      <c r="AJ22" s="174"/>
      <c r="AK22" s="174"/>
      <c r="AL22" s="174"/>
      <c r="AM22" s="174"/>
    </row>
    <row r="23" spans="2:57">
      <c r="B23" s="192" t="s">
        <v>444</v>
      </c>
      <c r="C23" s="155"/>
      <c r="D23" s="155"/>
      <c r="E23" s="155"/>
      <c r="F23" s="155"/>
      <c r="G23" s="155"/>
      <c r="H23" s="155"/>
      <c r="I23" s="155"/>
      <c r="J23" s="155"/>
      <c r="K23" s="155"/>
      <c r="L23" s="155"/>
      <c r="M23" s="155"/>
      <c r="N23" s="196">
        <f t="shared" ref="N23:S23" si="5">IF(ISERROR(N15/N11),"N/A",N15/N11)</f>
        <v>0.48</v>
      </c>
      <c r="O23" s="196">
        <f t="shared" si="5"/>
        <v>0.48</v>
      </c>
      <c r="P23" s="196">
        <f t="shared" si="5"/>
        <v>0.48000000000000004</v>
      </c>
      <c r="Q23" s="196">
        <f t="shared" si="5"/>
        <v>0.48000000000000004</v>
      </c>
      <c r="R23" s="196">
        <f t="shared" si="5"/>
        <v>0.48000000000000009</v>
      </c>
      <c r="S23" s="196">
        <f t="shared" si="5"/>
        <v>0.48000000000000009</v>
      </c>
      <c r="V23" s="174"/>
      <c r="W23" s="174"/>
      <c r="X23" s="174"/>
      <c r="Y23" s="174"/>
      <c r="Z23" s="174"/>
      <c r="AA23" s="174"/>
      <c r="AB23" s="174"/>
      <c r="AC23" s="174"/>
      <c r="AD23" s="174"/>
      <c r="AE23" s="174"/>
      <c r="AF23" s="174"/>
      <c r="AG23" s="174"/>
      <c r="AH23" s="174"/>
      <c r="AI23" s="174"/>
      <c r="AJ23" s="174"/>
      <c r="AK23" s="174"/>
      <c r="AL23" s="174"/>
      <c r="AM23" s="174"/>
      <c r="AQ23" s="179" t="s">
        <v>350</v>
      </c>
      <c r="AU23" s="5" t="str">
        <f>Fcast_TO!C20</f>
        <v>Operating Expenditure</v>
      </c>
    </row>
    <row r="24" spans="2:57">
      <c r="V24" s="174"/>
      <c r="W24" s="174"/>
      <c r="X24" s="174"/>
      <c r="Y24" s="174"/>
      <c r="Z24" s="174"/>
      <c r="AA24" s="174"/>
      <c r="AB24" s="174"/>
      <c r="AC24" s="174"/>
      <c r="AD24" s="174"/>
      <c r="AE24" s="174"/>
      <c r="AF24" s="174"/>
      <c r="AG24" s="174"/>
      <c r="AH24" s="174"/>
      <c r="AI24" s="174"/>
      <c r="AJ24" s="174"/>
      <c r="AK24" s="174"/>
      <c r="AL24" s="174"/>
      <c r="AM24" s="174"/>
    </row>
    <row r="25" spans="2:57">
      <c r="V25" s="174"/>
      <c r="W25" s="174"/>
      <c r="X25" s="174"/>
      <c r="Y25" s="174"/>
      <c r="Z25" s="174"/>
      <c r="AA25" s="174"/>
      <c r="AB25" s="174"/>
      <c r="AC25" s="174"/>
      <c r="AD25" s="174"/>
      <c r="AE25" s="174"/>
      <c r="AF25" s="174"/>
      <c r="AG25" s="174"/>
      <c r="AH25" s="174"/>
      <c r="AI25" s="174"/>
      <c r="AJ25" s="174"/>
      <c r="AK25" s="174"/>
      <c r="AL25" s="174"/>
      <c r="AM25" s="174"/>
      <c r="AQ25" s="5" t="str">
        <f>Fcast_TO!C20</f>
        <v>Operating Expenditure</v>
      </c>
      <c r="AX25" s="101">
        <f>Fcast_TO!J20</f>
        <v>40</v>
      </c>
      <c r="AY25" s="101">
        <f>Fcast_TO!K20</f>
        <v>41</v>
      </c>
      <c r="AZ25" s="101">
        <f>Fcast_TO!L20</f>
        <v>42.024999999999999</v>
      </c>
      <c r="BA25" s="101">
        <f>Fcast_TO!M20</f>
        <v>43.075624999999995</v>
      </c>
      <c r="BB25" s="101">
        <f>Fcast_TO!N20</f>
        <v>44.152515624999992</v>
      </c>
      <c r="BC25" s="101">
        <f>Fcast_TO!O20</f>
        <v>45.256328515624986</v>
      </c>
      <c r="BD25" s="101">
        <f>Fcast_TO!P20</f>
        <v>46.387736728515605</v>
      </c>
      <c r="BE25" s="101">
        <f>Fcast_TO!Q20</f>
        <v>47.547430146728495</v>
      </c>
    </row>
    <row r="26" spans="2:57" ht="11.25">
      <c r="B26" s="304" t="s">
        <v>0</v>
      </c>
      <c r="C26" s="305"/>
      <c r="D26" s="305"/>
      <c r="E26" s="305"/>
      <c r="F26" s="305"/>
      <c r="G26" s="305"/>
      <c r="H26" s="305"/>
      <c r="I26" s="305"/>
      <c r="J26" s="305"/>
      <c r="K26" s="305"/>
      <c r="L26" s="305"/>
      <c r="M26" s="305"/>
      <c r="N26" s="305"/>
      <c r="O26" s="305"/>
      <c r="P26" s="305"/>
      <c r="Q26" s="305"/>
      <c r="R26" s="305"/>
      <c r="S26" s="306"/>
      <c r="V26" s="174"/>
      <c r="W26" s="174"/>
      <c r="X26" s="174"/>
      <c r="Y26" s="174"/>
      <c r="Z26" s="174"/>
      <c r="AA26" s="174"/>
      <c r="AB26" s="174"/>
      <c r="AC26" s="174"/>
      <c r="AD26" s="174"/>
      <c r="AE26" s="174"/>
      <c r="AF26" s="174"/>
      <c r="AG26" s="174"/>
      <c r="AH26" s="174"/>
      <c r="AI26" s="174"/>
      <c r="AJ26" s="174"/>
      <c r="AK26" s="174"/>
      <c r="AL26" s="174"/>
      <c r="AM26" s="174"/>
    </row>
    <row r="27" spans="2:57" ht="11.25">
      <c r="B27" s="155"/>
      <c r="C27" s="155"/>
      <c r="D27" s="155"/>
      <c r="E27" s="155"/>
      <c r="F27" s="155"/>
      <c r="G27" s="155"/>
      <c r="H27" s="155"/>
      <c r="I27" s="155"/>
      <c r="J27" s="155"/>
      <c r="K27" s="155"/>
      <c r="L27" s="155"/>
      <c r="M27" s="155"/>
      <c r="N27" s="155"/>
      <c r="O27" s="155"/>
      <c r="P27" s="155"/>
      <c r="Q27" s="155"/>
      <c r="R27" s="155"/>
      <c r="S27" s="155"/>
      <c r="V27" s="303" t="s">
        <v>433</v>
      </c>
      <c r="W27" s="303"/>
      <c r="X27" s="303"/>
      <c r="Y27" s="303"/>
      <c r="Z27" s="303"/>
      <c r="AA27" s="303"/>
      <c r="AB27" s="303"/>
      <c r="AC27" s="303"/>
      <c r="AD27" s="303"/>
      <c r="AE27" s="303"/>
      <c r="AF27" s="303"/>
      <c r="AG27" s="303"/>
      <c r="AH27" s="303"/>
      <c r="AI27" s="303"/>
      <c r="AJ27" s="303"/>
      <c r="AK27" s="303"/>
      <c r="AL27" s="303"/>
      <c r="AM27" s="303"/>
      <c r="AP27" s="179" t="s">
        <v>453</v>
      </c>
    </row>
    <row r="28" spans="2:57">
      <c r="B28" s="156" t="str">
        <f>IF(TS_Periodicity=Annual,IS_TO!$B$7,IS_TO!$B$6)</f>
        <v>Year Ending 31 December</v>
      </c>
      <c r="C28" s="155"/>
      <c r="D28" s="155"/>
      <c r="E28" s="155"/>
      <c r="F28" s="155"/>
      <c r="G28" s="155"/>
      <c r="H28" s="155"/>
      <c r="I28" s="155"/>
      <c r="J28" s="155"/>
      <c r="K28" s="155"/>
      <c r="L28" s="155"/>
      <c r="M28" s="155"/>
      <c r="N28" s="157" t="str">
        <f>IF(TS_Periodicity=Annual,IS_TO!J$7,IS_TO!J$6)</f>
        <v xml:space="preserve">2010 (F) </v>
      </c>
      <c r="O28" s="157" t="str">
        <f>IF(TS_Periodicity=Annual,IS_TO!K$7,IS_TO!K$6)</f>
        <v xml:space="preserve">2011 (F) </v>
      </c>
      <c r="P28" s="157" t="str">
        <f>IF(TS_Periodicity=Annual,IS_TO!L$7,IS_TO!L$6)</f>
        <v xml:space="preserve">2012 (F) </v>
      </c>
      <c r="Q28" s="157" t="str">
        <f>IF(TS_Periodicity=Annual,IS_TO!M$7,IS_TO!M$6)</f>
        <v xml:space="preserve">2013 (F) </v>
      </c>
      <c r="R28" s="157" t="str">
        <f>IF(TS_Periodicity=Annual,IS_TO!N$7,IS_TO!N$6)</f>
        <v xml:space="preserve">2014 (F) </v>
      </c>
      <c r="S28" s="157" t="str">
        <f>IF(TS_Periodicity=Annual,IS_TO!O$7,IS_TO!O$6)</f>
        <v xml:space="preserve">2015 (F) </v>
      </c>
      <c r="V28" s="174"/>
      <c r="W28" s="174"/>
      <c r="X28" s="174"/>
      <c r="Y28" s="174"/>
      <c r="Z28" s="174"/>
      <c r="AA28" s="174"/>
      <c r="AB28" s="174"/>
      <c r="AC28" s="174"/>
      <c r="AD28" s="174"/>
      <c r="AE28" s="174"/>
      <c r="AF28" s="174"/>
      <c r="AG28" s="174"/>
      <c r="AH28" s="174"/>
      <c r="AI28" s="174"/>
      <c r="AJ28" s="174"/>
      <c r="AK28" s="174"/>
      <c r="AL28" s="174"/>
      <c r="AM28" s="174"/>
    </row>
    <row r="29" spans="2:57">
      <c r="B29" s="155"/>
      <c r="C29" s="155"/>
      <c r="D29" s="155"/>
      <c r="E29" s="155"/>
      <c r="F29" s="155"/>
      <c r="G29" s="155"/>
      <c r="H29" s="155"/>
      <c r="I29" s="155"/>
      <c r="J29" s="155"/>
      <c r="K29" s="155"/>
      <c r="L29" s="155"/>
      <c r="M29" s="155"/>
      <c r="N29" s="155"/>
      <c r="O29" s="155"/>
      <c r="P29" s="155"/>
      <c r="Q29" s="155"/>
      <c r="R29" s="155"/>
      <c r="S29" s="155"/>
      <c r="V29" s="174"/>
      <c r="W29" s="174"/>
      <c r="X29" s="174"/>
      <c r="Y29" s="174"/>
      <c r="Z29" s="174"/>
      <c r="AA29" s="174"/>
      <c r="AB29" s="174"/>
      <c r="AC29" s="174"/>
      <c r="AD29" s="174"/>
      <c r="AE29" s="174"/>
      <c r="AF29" s="174"/>
      <c r="AG29" s="174"/>
      <c r="AH29" s="174"/>
      <c r="AI29" s="174"/>
      <c r="AJ29" s="174"/>
      <c r="AK29" s="174"/>
      <c r="AL29" s="174"/>
      <c r="AM29" s="174"/>
      <c r="AQ29" s="179" t="s">
        <v>350</v>
      </c>
      <c r="AU29" s="178" t="s">
        <v>510</v>
      </c>
    </row>
    <row r="30" spans="2:57">
      <c r="B30" s="158" t="s">
        <v>31</v>
      </c>
      <c r="C30" s="155"/>
      <c r="D30" s="155"/>
      <c r="E30" s="155"/>
      <c r="F30" s="155"/>
      <c r="G30" s="155"/>
      <c r="H30" s="155"/>
      <c r="I30" s="155"/>
      <c r="J30" s="155"/>
      <c r="K30" s="155"/>
      <c r="L30" s="155"/>
      <c r="M30" s="155"/>
      <c r="N30" s="159">
        <f>BS_TO!J25</f>
        <v>51.84494863013699</v>
      </c>
      <c r="O30" s="159">
        <f>BS_TO!K25</f>
        <v>65.250134845890386</v>
      </c>
      <c r="P30" s="159">
        <f>BS_TO!L25</f>
        <v>78.970884413422112</v>
      </c>
      <c r="Q30" s="159">
        <f>BS_TO!M25</f>
        <v>93.084672922463625</v>
      </c>
      <c r="R30" s="159">
        <f>BS_TO!N25</f>
        <v>112.4255397455252</v>
      </c>
      <c r="S30" s="159">
        <f>BS_TO!O25</f>
        <v>127.07413136416335</v>
      </c>
      <c r="V30" s="174"/>
      <c r="W30" s="174"/>
      <c r="X30" s="174"/>
      <c r="Y30" s="174"/>
      <c r="Z30" s="174"/>
      <c r="AA30" s="174"/>
      <c r="AB30" s="174"/>
      <c r="AC30" s="174"/>
      <c r="AD30" s="174"/>
      <c r="AE30" s="174"/>
      <c r="AF30" s="174"/>
      <c r="AG30" s="174"/>
      <c r="AH30" s="174"/>
      <c r="AI30" s="174"/>
      <c r="AJ30" s="174"/>
      <c r="AK30" s="174"/>
      <c r="AL30" s="174"/>
      <c r="AM30" s="174"/>
    </row>
    <row r="31" spans="2:57">
      <c r="B31" s="158" t="s">
        <v>32</v>
      </c>
      <c r="C31" s="155"/>
      <c r="D31" s="155"/>
      <c r="E31" s="155"/>
      <c r="F31" s="155"/>
      <c r="G31" s="155"/>
      <c r="H31" s="155"/>
      <c r="I31" s="155"/>
      <c r="J31" s="155"/>
      <c r="K31" s="155"/>
      <c r="L31" s="155"/>
      <c r="M31" s="155"/>
      <c r="N31" s="159">
        <f>BS_TO!J33</f>
        <v>164.875</v>
      </c>
      <c r="O31" s="159">
        <f>BS_TO!K33</f>
        <v>169.33437499999999</v>
      </c>
      <c r="P31" s="159">
        <f>BS_TO!L33</f>
        <v>173.88023437499999</v>
      </c>
      <c r="Q31" s="159">
        <f>BS_TO!M33</f>
        <v>178.51474023437501</v>
      </c>
      <c r="R31" s="159">
        <f>BS_TO!N33</f>
        <v>183.2401087402344</v>
      </c>
      <c r="S31" s="159">
        <f>BS_TO!O33</f>
        <v>188.05861145874027</v>
      </c>
      <c r="V31" s="174"/>
      <c r="W31" s="174"/>
      <c r="X31" s="174"/>
      <c r="Y31" s="174"/>
      <c r="Z31" s="174"/>
      <c r="AA31" s="174"/>
      <c r="AB31" s="174"/>
      <c r="AC31" s="174"/>
      <c r="AD31" s="174"/>
      <c r="AE31" s="174"/>
      <c r="AF31" s="174"/>
      <c r="AG31" s="174"/>
      <c r="AH31" s="174"/>
      <c r="AI31" s="174"/>
      <c r="AJ31" s="174"/>
      <c r="AK31" s="174"/>
      <c r="AL31" s="174"/>
      <c r="AM31" s="174"/>
      <c r="AQ31" s="5" t="str">
        <f>IS_TO!$D$18</f>
        <v>Revenue</v>
      </c>
      <c r="AX31" s="101">
        <f>IS_TO!J18</f>
        <v>125</v>
      </c>
      <c r="AY31" s="101">
        <f>IS_TO!K18</f>
        <v>128.125</v>
      </c>
      <c r="AZ31" s="101">
        <f>IS_TO!L18</f>
        <v>131.328125</v>
      </c>
      <c r="BA31" s="101">
        <f>IS_TO!M18</f>
        <v>134.611328125</v>
      </c>
      <c r="BB31" s="101">
        <f>IS_TO!N18</f>
        <v>137.97661132812499</v>
      </c>
      <c r="BC31" s="101">
        <f>IS_TO!O18</f>
        <v>141.4260266113281</v>
      </c>
      <c r="BD31" s="101">
        <f>IS_TO!P18</f>
        <v>144.96167727661128</v>
      </c>
      <c r="BE31" s="101">
        <f>IS_TO!Q18</f>
        <v>148.58571920852654</v>
      </c>
    </row>
    <row r="32" spans="2:57">
      <c r="B32" s="162" t="s">
        <v>33</v>
      </c>
      <c r="C32" s="155"/>
      <c r="D32" s="155"/>
      <c r="E32" s="155"/>
      <c r="F32" s="155"/>
      <c r="G32" s="155"/>
      <c r="H32" s="155"/>
      <c r="I32" s="155"/>
      <c r="J32" s="155"/>
      <c r="K32" s="155"/>
      <c r="L32" s="155"/>
      <c r="M32" s="155"/>
      <c r="N32" s="160">
        <f>SUM(N30:N31)</f>
        <v>216.719948630137</v>
      </c>
      <c r="O32" s="160">
        <f t="shared" ref="O32:S32" si="6">SUM(O30:O31)</f>
        <v>234.58450984589038</v>
      </c>
      <c r="P32" s="160">
        <f t="shared" si="6"/>
        <v>252.8511187884221</v>
      </c>
      <c r="Q32" s="160">
        <f t="shared" si="6"/>
        <v>271.59941315683864</v>
      </c>
      <c r="R32" s="160">
        <f t="shared" si="6"/>
        <v>295.66564848575962</v>
      </c>
      <c r="S32" s="160">
        <f t="shared" si="6"/>
        <v>315.13274282290365</v>
      </c>
      <c r="V32" s="174"/>
      <c r="W32" s="174"/>
      <c r="X32" s="174"/>
      <c r="Y32" s="174"/>
      <c r="Z32" s="174"/>
      <c r="AA32" s="174"/>
      <c r="AB32" s="174"/>
      <c r="AC32" s="174"/>
      <c r="AD32" s="174"/>
      <c r="AE32" s="174"/>
      <c r="AF32" s="174"/>
      <c r="AG32" s="174"/>
      <c r="AH32" s="174"/>
      <c r="AI32" s="174"/>
      <c r="AJ32" s="174"/>
      <c r="AK32" s="174"/>
      <c r="AL32" s="174"/>
      <c r="AM32" s="174"/>
      <c r="AQ32" s="5" t="str">
        <f>IS_TO!$D$19</f>
        <v>Cost of Goods Sold</v>
      </c>
      <c r="AX32" s="101">
        <f>IS_TO!J19</f>
        <v>-25</v>
      </c>
      <c r="AY32" s="101">
        <f>IS_TO!K19</f>
        <v>-25.624999999999996</v>
      </c>
      <c r="AZ32" s="101">
        <f>IS_TO!L19</f>
        <v>-26.265624999999993</v>
      </c>
      <c r="BA32" s="101">
        <f>IS_TO!M19</f>
        <v>-26.922265624999991</v>
      </c>
      <c r="BB32" s="101">
        <f>IS_TO!N19</f>
        <v>-27.59532226562499</v>
      </c>
      <c r="BC32" s="101">
        <f>IS_TO!O19</f>
        <v>-28.285205322265611</v>
      </c>
      <c r="BD32" s="101">
        <f>IS_TO!P19</f>
        <v>-28.992335455322248</v>
      </c>
      <c r="BE32" s="101">
        <f>IS_TO!Q19</f>
        <v>-29.717143841705301</v>
      </c>
    </row>
    <row r="33" spans="2:57">
      <c r="B33" s="155"/>
      <c r="C33" s="155"/>
      <c r="D33" s="155"/>
      <c r="E33" s="155"/>
      <c r="F33" s="155"/>
      <c r="G33" s="155"/>
      <c r="H33" s="155"/>
      <c r="I33" s="155"/>
      <c r="J33" s="155"/>
      <c r="K33" s="155"/>
      <c r="L33" s="155"/>
      <c r="M33" s="155"/>
      <c r="N33" s="159"/>
      <c r="O33" s="159"/>
      <c r="P33" s="159"/>
      <c r="Q33" s="159"/>
      <c r="R33" s="159"/>
      <c r="S33" s="159"/>
      <c r="V33" s="174"/>
      <c r="W33" s="174"/>
      <c r="X33" s="174"/>
      <c r="Y33" s="174"/>
      <c r="Z33" s="174"/>
      <c r="AA33" s="174"/>
      <c r="AB33" s="174"/>
      <c r="AC33" s="174"/>
      <c r="AD33" s="174"/>
      <c r="AE33" s="174"/>
      <c r="AF33" s="174"/>
      <c r="AG33" s="174"/>
      <c r="AH33" s="174"/>
      <c r="AI33" s="174"/>
      <c r="AJ33" s="174"/>
      <c r="AK33" s="174"/>
      <c r="AL33" s="174"/>
      <c r="AM33" s="174"/>
      <c r="AQ33" s="5" t="str">
        <f>IS_TO!$D$23</f>
        <v>Operating Expenditure</v>
      </c>
      <c r="AX33" s="101">
        <f>IS_TO!J23</f>
        <v>-40</v>
      </c>
      <c r="AY33" s="101">
        <f>IS_TO!K23</f>
        <v>-41</v>
      </c>
      <c r="AZ33" s="101">
        <f>IS_TO!L23</f>
        <v>-42.024999999999999</v>
      </c>
      <c r="BA33" s="101">
        <f>IS_TO!M23</f>
        <v>-43.075624999999995</v>
      </c>
      <c r="BB33" s="101">
        <f>IS_TO!N23</f>
        <v>-44.152515624999992</v>
      </c>
      <c r="BC33" s="101">
        <f>IS_TO!O23</f>
        <v>-45.256328515624986</v>
      </c>
      <c r="BD33" s="101">
        <f>IS_TO!P23</f>
        <v>-46.387736728515605</v>
      </c>
      <c r="BE33" s="101">
        <f>IS_TO!Q23</f>
        <v>-47.547430146728495</v>
      </c>
    </row>
    <row r="34" spans="2:57">
      <c r="B34" s="158" t="s">
        <v>34</v>
      </c>
      <c r="C34" s="155"/>
      <c r="D34" s="155"/>
      <c r="E34" s="155"/>
      <c r="F34" s="155"/>
      <c r="G34" s="155"/>
      <c r="H34" s="155"/>
      <c r="I34" s="155"/>
      <c r="J34" s="155"/>
      <c r="K34" s="155"/>
      <c r="L34" s="155"/>
      <c r="M34" s="155"/>
      <c r="N34" s="159">
        <f>BS_TO!J44</f>
        <v>24.801198630136987</v>
      </c>
      <c r="O34" s="159">
        <f>BS_TO!K44</f>
        <v>26.345603595890413</v>
      </c>
      <c r="P34" s="159">
        <f>BS_TO!L44</f>
        <v>27.880614882172132</v>
      </c>
      <c r="Q34" s="159">
        <f>BS_TO!M44</f>
        <v>29.47558415293237</v>
      </c>
      <c r="R34" s="159">
        <f>BS_TO!N44</f>
        <v>31.013098756755678</v>
      </c>
      <c r="S34" s="159">
        <f>BS_TO!O44</f>
        <v>32.565269975674568</v>
      </c>
      <c r="V34" s="174"/>
      <c r="W34" s="174"/>
      <c r="X34" s="174"/>
      <c r="Y34" s="174"/>
      <c r="Z34" s="174"/>
      <c r="AA34" s="174"/>
      <c r="AB34" s="174"/>
      <c r="AC34" s="174"/>
      <c r="AD34" s="174"/>
      <c r="AE34" s="174"/>
      <c r="AF34" s="174"/>
      <c r="AG34" s="174"/>
      <c r="AH34" s="174"/>
      <c r="AI34" s="174"/>
      <c r="AJ34" s="174"/>
      <c r="AK34" s="174"/>
      <c r="AL34" s="174"/>
      <c r="AM34" s="174"/>
      <c r="AQ34" s="5" t="str">
        <f>IS_TO!$C$25</f>
        <v>EBITDA</v>
      </c>
      <c r="AX34" s="101">
        <f>IS_TO!J25</f>
        <v>60</v>
      </c>
      <c r="AY34" s="101">
        <f>IS_TO!K25</f>
        <v>61.5</v>
      </c>
      <c r="AZ34" s="101">
        <f>IS_TO!L25</f>
        <v>63.037500000000001</v>
      </c>
      <c r="BA34" s="101">
        <f>IS_TO!M25</f>
        <v>64.613437500000003</v>
      </c>
      <c r="BB34" s="101">
        <f>IS_TO!N25</f>
        <v>66.22877343750001</v>
      </c>
      <c r="BC34" s="101">
        <f>IS_TO!O25</f>
        <v>67.884492773437501</v>
      </c>
      <c r="BD34" s="101">
        <f>IS_TO!P25</f>
        <v>69.58160509277343</v>
      </c>
      <c r="BE34" s="101">
        <f>IS_TO!Q25</f>
        <v>71.321145220092745</v>
      </c>
    </row>
    <row r="35" spans="2:57">
      <c r="B35" s="158" t="s">
        <v>36</v>
      </c>
      <c r="C35" s="155"/>
      <c r="D35" s="155"/>
      <c r="E35" s="155"/>
      <c r="F35" s="155"/>
      <c r="G35" s="155"/>
      <c r="H35" s="155"/>
      <c r="I35" s="155"/>
      <c r="J35" s="155"/>
      <c r="K35" s="155"/>
      <c r="L35" s="155"/>
      <c r="M35" s="155"/>
      <c r="N35" s="159">
        <f>BS_TO!J51</f>
        <v>56</v>
      </c>
      <c r="O35" s="159">
        <f>BS_TO!K51</f>
        <v>57</v>
      </c>
      <c r="P35" s="159">
        <f>BS_TO!L51</f>
        <v>58</v>
      </c>
      <c r="Q35" s="159">
        <f>BS_TO!M51</f>
        <v>59</v>
      </c>
      <c r="R35" s="159">
        <f>BS_TO!N51</f>
        <v>65</v>
      </c>
      <c r="S35" s="159">
        <f>BS_TO!O51</f>
        <v>66</v>
      </c>
      <c r="V35" s="174"/>
      <c r="W35" s="174"/>
      <c r="X35" s="174"/>
      <c r="Y35" s="174"/>
      <c r="Z35" s="174"/>
      <c r="AA35" s="174"/>
      <c r="AB35" s="174"/>
      <c r="AC35" s="174"/>
      <c r="AD35" s="174"/>
      <c r="AE35" s="174"/>
      <c r="AF35" s="174"/>
      <c r="AG35" s="174"/>
      <c r="AH35" s="174"/>
      <c r="AI35" s="174"/>
      <c r="AJ35" s="174"/>
      <c r="AK35" s="174"/>
      <c r="AL35" s="174"/>
      <c r="AM35" s="174"/>
    </row>
    <row r="36" spans="2:57">
      <c r="B36" s="162" t="s">
        <v>37</v>
      </c>
      <c r="C36" s="155"/>
      <c r="D36" s="155"/>
      <c r="E36" s="155"/>
      <c r="F36" s="155"/>
      <c r="G36" s="155"/>
      <c r="H36" s="155"/>
      <c r="I36" s="155"/>
      <c r="J36" s="155"/>
      <c r="K36" s="155"/>
      <c r="L36" s="155"/>
      <c r="M36" s="155"/>
      <c r="N36" s="160">
        <f>SUM(N34:N35)</f>
        <v>80.80119863013698</v>
      </c>
      <c r="O36" s="160">
        <f t="shared" ref="O36:S36" si="7">SUM(O34:O35)</f>
        <v>83.34560359589041</v>
      </c>
      <c r="P36" s="160">
        <f t="shared" si="7"/>
        <v>85.880614882172125</v>
      </c>
      <c r="Q36" s="160">
        <f t="shared" si="7"/>
        <v>88.47558415293237</v>
      </c>
      <c r="R36" s="160">
        <f t="shared" si="7"/>
        <v>96.013098756755682</v>
      </c>
      <c r="S36" s="160">
        <f t="shared" si="7"/>
        <v>98.565269975674568</v>
      </c>
      <c r="V36" s="174"/>
      <c r="W36" s="174"/>
      <c r="X36" s="174"/>
      <c r="Y36" s="174"/>
      <c r="Z36" s="174"/>
      <c r="AA36" s="174"/>
      <c r="AB36" s="174"/>
      <c r="AC36" s="174"/>
      <c r="AD36" s="174"/>
      <c r="AE36" s="174"/>
      <c r="AF36" s="174"/>
      <c r="AG36" s="174"/>
      <c r="AH36" s="174"/>
      <c r="AI36" s="174"/>
      <c r="AJ36" s="174"/>
      <c r="AK36" s="174"/>
      <c r="AL36" s="174"/>
      <c r="AM36" s="174"/>
      <c r="AP36" s="179" t="s">
        <v>453</v>
      </c>
    </row>
    <row r="37" spans="2:57">
      <c r="B37" s="155"/>
      <c r="C37" s="155"/>
      <c r="D37" s="155"/>
      <c r="E37" s="155"/>
      <c r="F37" s="155"/>
      <c r="G37" s="155"/>
      <c r="H37" s="155"/>
      <c r="I37" s="155"/>
      <c r="J37" s="155"/>
      <c r="K37" s="155"/>
      <c r="L37" s="155"/>
      <c r="M37" s="155"/>
      <c r="N37" s="159"/>
      <c r="O37" s="159"/>
      <c r="P37" s="159"/>
      <c r="Q37" s="159"/>
      <c r="R37" s="159"/>
      <c r="S37" s="159"/>
      <c r="V37" s="174"/>
      <c r="W37" s="174"/>
      <c r="X37" s="174"/>
      <c r="Y37" s="174"/>
      <c r="Z37" s="174"/>
      <c r="AA37" s="174"/>
      <c r="AB37" s="174"/>
      <c r="AC37" s="174"/>
      <c r="AD37" s="174"/>
      <c r="AE37" s="174"/>
      <c r="AF37" s="174"/>
      <c r="AG37" s="174"/>
      <c r="AH37" s="174"/>
      <c r="AI37" s="174"/>
      <c r="AJ37" s="174"/>
      <c r="AK37" s="174"/>
      <c r="AL37" s="174"/>
      <c r="AM37" s="174"/>
    </row>
    <row r="38" spans="2:57">
      <c r="B38" s="162" t="s">
        <v>38</v>
      </c>
      <c r="C38" s="155"/>
      <c r="D38" s="155"/>
      <c r="E38" s="155"/>
      <c r="F38" s="155"/>
      <c r="G38" s="155"/>
      <c r="H38" s="155"/>
      <c r="I38" s="155"/>
      <c r="J38" s="155"/>
      <c r="K38" s="155"/>
      <c r="L38" s="155"/>
      <c r="M38" s="155"/>
      <c r="N38" s="163">
        <f>N32-N36</f>
        <v>135.91875000000002</v>
      </c>
      <c r="O38" s="163">
        <f t="shared" ref="O38:S38" si="8">O32-O36</f>
        <v>151.23890624999996</v>
      </c>
      <c r="P38" s="163">
        <f t="shared" si="8"/>
        <v>166.97050390624997</v>
      </c>
      <c r="Q38" s="163">
        <f t="shared" si="8"/>
        <v>183.12382900390628</v>
      </c>
      <c r="R38" s="163">
        <f t="shared" si="8"/>
        <v>199.65254972900394</v>
      </c>
      <c r="S38" s="163">
        <f t="shared" si="8"/>
        <v>216.56747284722908</v>
      </c>
      <c r="V38" s="174"/>
      <c r="W38" s="174"/>
      <c r="X38" s="174"/>
      <c r="Y38" s="174"/>
      <c r="Z38" s="174"/>
      <c r="AA38" s="174"/>
      <c r="AB38" s="174"/>
      <c r="AC38" s="174"/>
      <c r="AD38" s="174"/>
      <c r="AE38" s="174"/>
      <c r="AF38" s="174"/>
      <c r="AG38" s="174"/>
      <c r="AH38" s="174"/>
      <c r="AI38" s="174"/>
      <c r="AJ38" s="174"/>
      <c r="AK38" s="174"/>
      <c r="AL38" s="174"/>
      <c r="AM38" s="174"/>
      <c r="AQ38" s="179" t="s">
        <v>350</v>
      </c>
      <c r="AU38" s="123" t="str">
        <f>"Operating Expenditure - Committed vs. Discretionary - "&amp;INDEX(LU_Dashboard_Selected_Period,AU40)</f>
        <v xml:space="preserve">Operating Expenditure - Committed vs. Discretionary - 2010 (F) </v>
      </c>
    </row>
    <row r="39" spans="2:57">
      <c r="B39" s="155"/>
      <c r="C39" s="155"/>
      <c r="D39" s="155"/>
      <c r="E39" s="155"/>
      <c r="F39" s="155"/>
      <c r="G39" s="155"/>
      <c r="H39" s="155"/>
      <c r="I39" s="155"/>
      <c r="J39" s="155"/>
      <c r="K39" s="155"/>
      <c r="L39" s="155"/>
      <c r="M39" s="155"/>
      <c r="N39" s="159"/>
      <c r="O39" s="159"/>
      <c r="P39" s="159"/>
      <c r="Q39" s="159"/>
      <c r="R39" s="159"/>
      <c r="S39" s="159"/>
      <c r="V39" s="174"/>
      <c r="W39" s="174"/>
      <c r="X39" s="174"/>
      <c r="Y39" s="174"/>
      <c r="Z39" s="174"/>
      <c r="AA39" s="174"/>
      <c r="AB39" s="174"/>
      <c r="AC39" s="174"/>
      <c r="AD39" s="174"/>
      <c r="AE39" s="174"/>
      <c r="AF39" s="174"/>
      <c r="AG39" s="174"/>
      <c r="AH39" s="174"/>
      <c r="AI39" s="174"/>
      <c r="AJ39" s="174"/>
      <c r="AK39" s="174"/>
      <c r="AL39" s="174"/>
      <c r="AM39" s="174"/>
    </row>
    <row r="40" spans="2:57">
      <c r="B40" s="158" t="s">
        <v>275</v>
      </c>
      <c r="C40" s="155"/>
      <c r="D40" s="155"/>
      <c r="E40" s="155"/>
      <c r="F40" s="155"/>
      <c r="G40" s="155"/>
      <c r="H40" s="155"/>
      <c r="I40" s="155"/>
      <c r="J40" s="155"/>
      <c r="K40" s="155"/>
      <c r="L40" s="155"/>
      <c r="M40" s="155"/>
      <c r="N40" s="159">
        <f>BS_TO!J59</f>
        <v>75</v>
      </c>
      <c r="O40" s="159">
        <f>BS_TO!K59</f>
        <v>75</v>
      </c>
      <c r="P40" s="159">
        <f>BS_TO!L59</f>
        <v>75</v>
      </c>
      <c r="Q40" s="159">
        <f>BS_TO!M59</f>
        <v>75</v>
      </c>
      <c r="R40" s="159">
        <f>BS_TO!N59</f>
        <v>75</v>
      </c>
      <c r="S40" s="159">
        <f>BS_TO!O59</f>
        <v>75</v>
      </c>
      <c r="V40" s="174"/>
      <c r="W40" s="174"/>
      <c r="X40" s="174"/>
      <c r="Y40" s="174"/>
      <c r="Z40" s="174"/>
      <c r="AA40" s="174"/>
      <c r="AB40" s="174"/>
      <c r="AC40" s="174"/>
      <c r="AD40" s="174"/>
      <c r="AE40" s="174"/>
      <c r="AF40" s="174"/>
      <c r="AG40" s="174"/>
      <c r="AH40" s="174"/>
      <c r="AI40" s="174"/>
      <c r="AJ40" s="174"/>
      <c r="AK40" s="174"/>
      <c r="AL40" s="174"/>
      <c r="AM40" s="174"/>
      <c r="AQ40" s="179" t="s">
        <v>448</v>
      </c>
      <c r="AU40" s="227">
        <v>1</v>
      </c>
    </row>
    <row r="41" spans="2:57">
      <c r="B41" s="158" t="s">
        <v>40</v>
      </c>
      <c r="C41" s="155"/>
      <c r="D41" s="155"/>
      <c r="E41" s="155"/>
      <c r="F41" s="155"/>
      <c r="G41" s="155"/>
      <c r="H41" s="155"/>
      <c r="I41" s="155"/>
      <c r="J41" s="155"/>
      <c r="K41" s="155"/>
      <c r="L41" s="155"/>
      <c r="M41" s="155"/>
      <c r="N41" s="159">
        <f>BS_TO!J65</f>
        <v>60.918750000000003</v>
      </c>
      <c r="O41" s="159">
        <f>BS_TO!K65</f>
        <v>76.238906250000014</v>
      </c>
      <c r="P41" s="159">
        <f>BS_TO!L65</f>
        <v>91.970503906250016</v>
      </c>
      <c r="Q41" s="159">
        <f>BS_TO!M65</f>
        <v>108.12382900390628</v>
      </c>
      <c r="R41" s="159">
        <f>BS_TO!N65</f>
        <v>124.65254972900394</v>
      </c>
      <c r="S41" s="159">
        <f>BS_TO!O65</f>
        <v>141.56747284722906</v>
      </c>
      <c r="V41" s="174"/>
      <c r="W41" s="174"/>
      <c r="X41" s="174"/>
      <c r="Y41" s="174"/>
      <c r="Z41" s="174"/>
      <c r="AA41" s="174"/>
      <c r="AB41" s="174"/>
      <c r="AC41" s="174"/>
      <c r="AD41" s="174"/>
      <c r="AE41" s="174"/>
      <c r="AF41" s="174"/>
      <c r="AG41" s="174"/>
      <c r="AH41" s="174"/>
      <c r="AI41" s="174"/>
      <c r="AJ41" s="174"/>
      <c r="AK41" s="174"/>
      <c r="AL41" s="174"/>
      <c r="AM41" s="174"/>
    </row>
    <row r="42" spans="2:57">
      <c r="B42" s="162" t="s">
        <v>41</v>
      </c>
      <c r="C42" s="155"/>
      <c r="D42" s="155"/>
      <c r="E42" s="155"/>
      <c r="F42" s="155"/>
      <c r="G42" s="155"/>
      <c r="H42" s="155"/>
      <c r="I42" s="155"/>
      <c r="J42" s="155"/>
      <c r="K42" s="155"/>
      <c r="L42" s="155"/>
      <c r="M42" s="155"/>
      <c r="N42" s="163">
        <f>SUM(N40:N41)</f>
        <v>135.91874999999999</v>
      </c>
      <c r="O42" s="163">
        <f t="shared" ref="O42:S42" si="9">SUM(O40:O41)</f>
        <v>151.23890625000001</v>
      </c>
      <c r="P42" s="163">
        <f t="shared" si="9"/>
        <v>166.97050390625003</v>
      </c>
      <c r="Q42" s="163">
        <f t="shared" si="9"/>
        <v>183.12382900390628</v>
      </c>
      <c r="R42" s="163">
        <f t="shared" si="9"/>
        <v>199.65254972900394</v>
      </c>
      <c r="S42" s="163">
        <f t="shared" si="9"/>
        <v>216.56747284722906</v>
      </c>
      <c r="V42" s="174"/>
      <c r="W42" s="174"/>
      <c r="X42" s="174"/>
      <c r="Y42" s="174"/>
      <c r="Z42" s="174"/>
      <c r="AA42" s="174"/>
      <c r="AB42" s="174"/>
      <c r="AC42" s="174"/>
      <c r="AD42" s="174"/>
      <c r="AE42" s="174"/>
      <c r="AF42" s="174"/>
      <c r="AG42" s="174"/>
      <c r="AH42" s="174"/>
      <c r="AI42" s="174"/>
      <c r="AJ42" s="174"/>
      <c r="AK42" s="174"/>
      <c r="AL42" s="174"/>
      <c r="AM42" s="174"/>
      <c r="AQ42" s="178" t="s">
        <v>455</v>
      </c>
      <c r="AW42" s="169">
        <v>0.47499999999999998</v>
      </c>
      <c r="AX42" s="100">
        <f ca="1">SUM(OFFSET($AX$25:$AX$25,0,$AU$40-1))*AW42</f>
        <v>19</v>
      </c>
    </row>
    <row r="43" spans="2:57">
      <c r="B43" s="155"/>
      <c r="C43" s="155"/>
      <c r="D43" s="155"/>
      <c r="E43" s="155"/>
      <c r="F43" s="155"/>
      <c r="G43" s="155"/>
      <c r="H43" s="155"/>
      <c r="I43" s="155"/>
      <c r="J43" s="155"/>
      <c r="K43" s="155"/>
      <c r="L43" s="155"/>
      <c r="M43" s="155"/>
      <c r="N43" s="155"/>
      <c r="O43" s="155"/>
      <c r="P43" s="155"/>
      <c r="Q43" s="155"/>
      <c r="R43" s="155"/>
      <c r="S43" s="155"/>
      <c r="V43" s="174"/>
      <c r="W43" s="174"/>
      <c r="X43" s="174"/>
      <c r="Y43" s="174"/>
      <c r="Z43" s="174"/>
      <c r="AA43" s="174"/>
      <c r="AB43" s="174"/>
      <c r="AC43" s="174"/>
      <c r="AD43" s="174"/>
      <c r="AE43" s="174"/>
      <c r="AF43" s="174"/>
      <c r="AG43" s="174"/>
      <c r="AH43" s="174"/>
      <c r="AI43" s="174"/>
      <c r="AJ43" s="174"/>
      <c r="AK43" s="174"/>
      <c r="AL43" s="174"/>
      <c r="AM43" s="174"/>
      <c r="AQ43" s="178" t="s">
        <v>454</v>
      </c>
      <c r="AW43" s="125">
        <f>1-AW42</f>
        <v>0.52500000000000002</v>
      </c>
      <c r="AX43" s="100">
        <f ca="1">SUM(OFFSET($AX$25:$AX$25,0,$AU$40-1))*AW43</f>
        <v>21</v>
      </c>
    </row>
    <row r="44" spans="2:57">
      <c r="V44" s="174"/>
      <c r="W44" s="174"/>
      <c r="X44" s="174"/>
      <c r="Y44" s="174"/>
      <c r="Z44" s="174"/>
      <c r="AA44" s="174"/>
      <c r="AB44" s="174"/>
      <c r="AC44" s="174"/>
      <c r="AD44" s="174"/>
      <c r="AE44" s="174"/>
      <c r="AF44" s="174"/>
      <c r="AG44" s="174"/>
      <c r="AH44" s="174"/>
      <c r="AI44" s="174"/>
      <c r="AJ44" s="174"/>
      <c r="AK44" s="174"/>
      <c r="AL44" s="174"/>
      <c r="AM44" s="174"/>
      <c r="AQ44" s="5"/>
      <c r="AX44" s="100"/>
    </row>
    <row r="45" spans="2:57" ht="11.25">
      <c r="B45" s="307" t="s">
        <v>46</v>
      </c>
      <c r="C45" s="308"/>
      <c r="D45" s="308"/>
      <c r="E45" s="308"/>
      <c r="F45" s="308"/>
      <c r="G45" s="308"/>
      <c r="H45" s="308"/>
      <c r="I45" s="308"/>
      <c r="J45" s="308"/>
      <c r="K45" s="308"/>
      <c r="L45" s="308"/>
      <c r="M45" s="308"/>
      <c r="N45" s="308"/>
      <c r="O45" s="308"/>
      <c r="P45" s="308"/>
      <c r="Q45" s="308"/>
      <c r="R45" s="308"/>
      <c r="S45" s="309"/>
      <c r="V45" s="174"/>
      <c r="W45" s="174"/>
      <c r="X45" s="174"/>
      <c r="Y45" s="174"/>
      <c r="Z45" s="174"/>
      <c r="AA45" s="174"/>
      <c r="AB45" s="174"/>
      <c r="AC45" s="174"/>
      <c r="AD45" s="174"/>
      <c r="AE45" s="174"/>
      <c r="AF45" s="174"/>
      <c r="AG45" s="174"/>
      <c r="AH45" s="174"/>
      <c r="AI45" s="174"/>
      <c r="AJ45" s="174"/>
      <c r="AK45" s="174"/>
      <c r="AL45" s="174"/>
      <c r="AM45" s="174"/>
      <c r="AP45" s="179" t="s">
        <v>463</v>
      </c>
      <c r="AQ45" s="5"/>
      <c r="AX45" s="100"/>
    </row>
    <row r="46" spans="2:57" ht="11.25">
      <c r="B46" s="155"/>
      <c r="C46" s="155"/>
      <c r="D46" s="155"/>
      <c r="E46" s="155"/>
      <c r="F46" s="155"/>
      <c r="G46" s="155"/>
      <c r="H46" s="155"/>
      <c r="I46" s="155"/>
      <c r="J46" s="155"/>
      <c r="K46" s="155"/>
      <c r="L46" s="155"/>
      <c r="M46" s="155"/>
      <c r="N46" s="155"/>
      <c r="O46" s="155"/>
      <c r="P46" s="155"/>
      <c r="Q46" s="155"/>
      <c r="R46" s="155"/>
      <c r="S46" s="155"/>
      <c r="V46" s="303" t="s">
        <v>434</v>
      </c>
      <c r="W46" s="303"/>
      <c r="X46" s="303"/>
      <c r="Y46" s="303"/>
      <c r="Z46" s="303"/>
      <c r="AA46" s="303"/>
      <c r="AB46" s="303"/>
      <c r="AC46" s="303"/>
      <c r="AD46" s="303"/>
      <c r="AE46" s="303"/>
      <c r="AF46" s="303"/>
      <c r="AG46" s="303"/>
      <c r="AH46" s="303"/>
      <c r="AI46" s="303"/>
      <c r="AJ46" s="303"/>
      <c r="AK46" s="303"/>
      <c r="AL46" s="303"/>
      <c r="AM46" s="303"/>
      <c r="AQ46" s="5"/>
      <c r="AX46" s="100"/>
    </row>
    <row r="47" spans="2:57">
      <c r="B47" s="156" t="str">
        <f>IF(TS_Periodicity=Annual,IS_TO!$B$7,IS_TO!$B$6)</f>
        <v>Year Ending 31 December</v>
      </c>
      <c r="C47" s="155"/>
      <c r="D47" s="155"/>
      <c r="E47" s="155"/>
      <c r="F47" s="155"/>
      <c r="G47" s="155"/>
      <c r="H47" s="155"/>
      <c r="I47" s="155"/>
      <c r="J47" s="155"/>
      <c r="K47" s="155"/>
      <c r="L47" s="155"/>
      <c r="M47" s="155"/>
      <c r="N47" s="157" t="str">
        <f>IF(TS_Periodicity=Annual,IS_TO!J$7,IS_TO!J$6)</f>
        <v xml:space="preserve">2010 (F) </v>
      </c>
      <c r="O47" s="157" t="str">
        <f>IF(TS_Periodicity=Annual,IS_TO!K$7,IS_TO!K$6)</f>
        <v xml:space="preserve">2011 (F) </v>
      </c>
      <c r="P47" s="157" t="str">
        <f>IF(TS_Periodicity=Annual,IS_TO!L$7,IS_TO!L$6)</f>
        <v xml:space="preserve">2012 (F) </v>
      </c>
      <c r="Q47" s="157" t="str">
        <f>IF(TS_Periodicity=Annual,IS_TO!M$7,IS_TO!M$6)</f>
        <v xml:space="preserve">2013 (F) </v>
      </c>
      <c r="R47" s="157" t="str">
        <f>IF(TS_Periodicity=Annual,IS_TO!N$7,IS_TO!N$6)</f>
        <v xml:space="preserve">2014 (F) </v>
      </c>
      <c r="S47" s="157" t="str">
        <f>IF(TS_Periodicity=Annual,IS_TO!O$7,IS_TO!O$6)</f>
        <v xml:space="preserve">2015 (F) </v>
      </c>
      <c r="V47" s="174"/>
      <c r="W47" s="174"/>
      <c r="X47" s="174"/>
      <c r="Y47" s="174"/>
      <c r="Z47" s="174"/>
      <c r="AA47" s="174"/>
      <c r="AB47" s="174"/>
      <c r="AC47" s="174"/>
      <c r="AD47" s="174"/>
      <c r="AE47" s="174"/>
      <c r="AF47" s="174"/>
      <c r="AG47" s="174"/>
      <c r="AH47" s="174"/>
      <c r="AI47" s="174"/>
      <c r="AJ47" s="174"/>
      <c r="AK47" s="174"/>
      <c r="AL47" s="174"/>
      <c r="AM47" s="174"/>
      <c r="AQ47" s="179" t="s">
        <v>350</v>
      </c>
      <c r="AU47" s="123" t="str">
        <f>"Net Assets - "&amp;INDEX(LU_Dashboard_Selected_Period,AU49)</f>
        <v xml:space="preserve">Net Assets - 2010 (F) </v>
      </c>
    </row>
    <row r="48" spans="2:57">
      <c r="B48" s="155"/>
      <c r="C48" s="155"/>
      <c r="D48" s="155"/>
      <c r="E48" s="155"/>
      <c r="F48" s="155"/>
      <c r="G48" s="155"/>
      <c r="H48" s="155"/>
      <c r="I48" s="155"/>
      <c r="J48" s="155"/>
      <c r="K48" s="155"/>
      <c r="L48" s="155"/>
      <c r="M48" s="155"/>
      <c r="N48" s="155"/>
      <c r="O48" s="155"/>
      <c r="P48" s="155"/>
      <c r="Q48" s="155"/>
      <c r="R48" s="155"/>
      <c r="S48" s="155"/>
      <c r="V48" s="174"/>
      <c r="W48" s="174"/>
      <c r="X48" s="174"/>
      <c r="Y48" s="174"/>
      <c r="Z48" s="174"/>
      <c r="AA48" s="174"/>
      <c r="AB48" s="174"/>
      <c r="AC48" s="174"/>
      <c r="AD48" s="174"/>
      <c r="AE48" s="174"/>
      <c r="AF48" s="174"/>
      <c r="AG48" s="174"/>
      <c r="AH48" s="174"/>
      <c r="AI48" s="174"/>
      <c r="AJ48" s="174"/>
      <c r="AK48" s="174"/>
      <c r="AL48" s="174"/>
      <c r="AM48" s="174"/>
    </row>
    <row r="49" spans="2:54">
      <c r="B49" s="158" t="s">
        <v>240</v>
      </c>
      <c r="C49" s="155"/>
      <c r="D49" s="155"/>
      <c r="E49" s="155"/>
      <c r="F49" s="155"/>
      <c r="G49" s="155"/>
      <c r="H49" s="155"/>
      <c r="I49" s="155"/>
      <c r="J49" s="155"/>
      <c r="K49" s="155"/>
      <c r="L49" s="155"/>
      <c r="M49" s="155"/>
      <c r="N49" s="159">
        <f>CFS_TO!J22</f>
        <v>135.72602739726028</v>
      </c>
      <c r="O49" s="159">
        <f>CFS_TO!K22</f>
        <v>127.86815068493149</v>
      </c>
      <c r="P49" s="159">
        <f>CFS_TO!L22</f>
        <v>131.09434650797215</v>
      </c>
      <c r="Q49" s="159">
        <f>CFS_TO!M22</f>
        <v>134.31198375743881</v>
      </c>
      <c r="R49" s="159">
        <f>CFS_TO!N22</f>
        <v>137.70001270869005</v>
      </c>
      <c r="S49" s="159">
        <f>CFS_TO!O22</f>
        <v>141.1425130264073</v>
      </c>
      <c r="V49" s="174"/>
      <c r="W49" s="174"/>
      <c r="X49" s="174"/>
      <c r="Y49" s="174"/>
      <c r="Z49" s="174"/>
      <c r="AA49" s="174"/>
      <c r="AB49" s="174"/>
      <c r="AC49" s="174"/>
      <c r="AD49" s="174"/>
      <c r="AE49" s="174"/>
      <c r="AF49" s="174"/>
      <c r="AG49" s="174"/>
      <c r="AH49" s="174"/>
      <c r="AI49" s="174"/>
      <c r="AJ49" s="174"/>
      <c r="AK49" s="174"/>
      <c r="AL49" s="174"/>
      <c r="AM49" s="174"/>
      <c r="AQ49" s="179" t="s">
        <v>448</v>
      </c>
      <c r="AU49" s="227">
        <v>1</v>
      </c>
    </row>
    <row r="50" spans="2:54">
      <c r="B50" s="158" t="s">
        <v>245</v>
      </c>
      <c r="C50" s="155"/>
      <c r="D50" s="155"/>
      <c r="E50" s="155"/>
      <c r="F50" s="155"/>
      <c r="G50" s="155"/>
      <c r="H50" s="155"/>
      <c r="I50" s="155"/>
      <c r="J50" s="155"/>
      <c r="K50" s="155"/>
      <c r="L50" s="155"/>
      <c r="M50" s="155"/>
      <c r="N50" s="159">
        <f>CFS_TO!J26</f>
        <v>-72.986301369863014</v>
      </c>
      <c r="O50" s="159">
        <f>CFS_TO!K26</f>
        <v>-66.424657534246577</v>
      </c>
      <c r="P50" s="159">
        <f>CFS_TO!L26</f>
        <v>-68.108277776218273</v>
      </c>
      <c r="Q50" s="159">
        <f>CFS_TO!M26</f>
        <v>-69.764402018302249</v>
      </c>
      <c r="R50" s="159">
        <f>CFS_TO!N26</f>
        <v>-71.532090967465734</v>
      </c>
      <c r="S50" s="159">
        <f>CFS_TO!O26</f>
        <v>-73.320393241652368</v>
      </c>
      <c r="V50" s="174"/>
      <c r="W50" s="174"/>
      <c r="X50" s="174"/>
      <c r="Y50" s="174"/>
      <c r="Z50" s="174"/>
      <c r="AA50" s="174"/>
      <c r="AB50" s="174"/>
      <c r="AC50" s="174"/>
      <c r="AD50" s="174"/>
      <c r="AE50" s="174"/>
      <c r="AF50" s="174"/>
      <c r="AG50" s="174"/>
      <c r="AH50" s="174"/>
      <c r="AI50" s="174"/>
      <c r="AJ50" s="174"/>
      <c r="AK50" s="174"/>
      <c r="AL50" s="174"/>
      <c r="AM50" s="174"/>
    </row>
    <row r="51" spans="2:54">
      <c r="B51" s="158" t="s">
        <v>442</v>
      </c>
      <c r="C51" s="155"/>
      <c r="D51" s="155"/>
      <c r="E51" s="155"/>
      <c r="F51" s="155"/>
      <c r="G51" s="155"/>
      <c r="H51" s="155"/>
      <c r="I51" s="155"/>
      <c r="J51" s="155"/>
      <c r="K51" s="155"/>
      <c r="L51" s="155"/>
      <c r="M51" s="155"/>
      <c r="N51" s="159">
        <f>N52-SUM(N49:N50)</f>
        <v>-6.75</v>
      </c>
      <c r="O51" s="159">
        <f t="shared" ref="O51:S51" si="10">O52-SUM(O49:O50)</f>
        <v>-16.037500000000001</v>
      </c>
      <c r="P51" s="159">
        <f t="shared" si="10"/>
        <v>-16.381562500000001</v>
      </c>
      <c r="Q51" s="159">
        <f t="shared" si="10"/>
        <v>-16.734226562499998</v>
      </c>
      <c r="R51" s="159">
        <f t="shared" si="10"/>
        <v>-17.258207226562504</v>
      </c>
      <c r="S51" s="159">
        <f t="shared" si="10"/>
        <v>-17.742474907226566</v>
      </c>
      <c r="V51" s="174"/>
      <c r="W51" s="174"/>
      <c r="X51" s="174"/>
      <c r="Y51" s="174"/>
      <c r="Z51" s="174"/>
      <c r="AA51" s="174"/>
      <c r="AB51" s="174"/>
      <c r="AC51" s="174"/>
      <c r="AD51" s="174"/>
      <c r="AE51" s="174"/>
      <c r="AF51" s="174"/>
      <c r="AG51" s="174"/>
      <c r="AH51" s="174"/>
      <c r="AI51" s="174"/>
      <c r="AJ51" s="174"/>
      <c r="AK51" s="174"/>
      <c r="AL51" s="174"/>
      <c r="AM51" s="174"/>
      <c r="AX51" s="301" t="s">
        <v>10</v>
      </c>
      <c r="AY51" s="301" t="s">
        <v>456</v>
      </c>
      <c r="AZ51" s="301" t="s">
        <v>457</v>
      </c>
      <c r="BA51" s="301" t="s">
        <v>458</v>
      </c>
      <c r="BB51" s="301" t="s">
        <v>459</v>
      </c>
    </row>
    <row r="52" spans="2:54">
      <c r="B52" s="162" t="s">
        <v>436</v>
      </c>
      <c r="C52" s="155"/>
      <c r="D52" s="155"/>
      <c r="E52" s="155"/>
      <c r="F52" s="155"/>
      <c r="G52" s="155"/>
      <c r="H52" s="155"/>
      <c r="I52" s="155"/>
      <c r="J52" s="155"/>
      <c r="K52" s="155"/>
      <c r="L52" s="155"/>
      <c r="M52" s="155"/>
      <c r="N52" s="163">
        <f>CFS_TO!J31</f>
        <v>55.989726027397268</v>
      </c>
      <c r="O52" s="163">
        <f>CFS_TO!K31</f>
        <v>45.405993150684914</v>
      </c>
      <c r="P52" s="163">
        <f>CFS_TO!L31</f>
        <v>46.604506231753874</v>
      </c>
      <c r="Q52" s="163">
        <f>CFS_TO!M31</f>
        <v>47.813355176636563</v>
      </c>
      <c r="R52" s="163">
        <f>CFS_TO!N31</f>
        <v>48.909714514661815</v>
      </c>
      <c r="S52" s="163">
        <f>CFS_TO!O31</f>
        <v>50.079644877528366</v>
      </c>
      <c r="V52" s="174"/>
      <c r="W52" s="174"/>
      <c r="X52" s="174"/>
      <c r="Y52" s="174"/>
      <c r="Z52" s="174"/>
      <c r="AA52" s="174"/>
      <c r="AB52" s="174"/>
      <c r="AC52" s="174"/>
      <c r="AD52" s="174"/>
      <c r="AE52" s="174"/>
      <c r="AF52" s="174"/>
      <c r="AG52" s="174"/>
      <c r="AH52" s="174"/>
      <c r="AI52" s="174"/>
      <c r="AJ52" s="174"/>
      <c r="AK52" s="174"/>
      <c r="AL52" s="174"/>
      <c r="AM52" s="174"/>
      <c r="AQ52" s="179" t="s">
        <v>460</v>
      </c>
      <c r="AX52" s="302"/>
      <c r="AY52" s="302"/>
      <c r="AZ52" s="302"/>
      <c r="BA52" s="302"/>
      <c r="BB52" s="302"/>
    </row>
    <row r="53" spans="2:54">
      <c r="B53" s="155"/>
      <c r="C53" s="155"/>
      <c r="D53" s="155"/>
      <c r="E53" s="155"/>
      <c r="F53" s="155"/>
      <c r="G53" s="155"/>
      <c r="H53" s="155"/>
      <c r="I53" s="155"/>
      <c r="J53" s="155"/>
      <c r="K53" s="155"/>
      <c r="L53" s="155"/>
      <c r="M53" s="155"/>
      <c r="N53" s="159"/>
      <c r="O53" s="159"/>
      <c r="P53" s="159"/>
      <c r="Q53" s="159"/>
      <c r="R53" s="159"/>
      <c r="S53" s="159"/>
      <c r="V53" s="174"/>
      <c r="W53" s="174"/>
      <c r="X53" s="174"/>
      <c r="Y53" s="174"/>
      <c r="Z53" s="174"/>
      <c r="AA53" s="174"/>
      <c r="AB53" s="174"/>
      <c r="AC53" s="174"/>
      <c r="AD53" s="174"/>
      <c r="AE53" s="174"/>
      <c r="AF53" s="174"/>
      <c r="AG53" s="174"/>
      <c r="AH53" s="174"/>
      <c r="AI53" s="174"/>
      <c r="AJ53" s="174"/>
      <c r="AK53" s="174"/>
      <c r="AL53" s="174"/>
      <c r="AM53" s="174"/>
      <c r="AQ53" s="178" t="s">
        <v>461</v>
      </c>
      <c r="AX53" s="100">
        <f ca="1">OFFSET($N$32,0,AU49-1)</f>
        <v>216.719948630137</v>
      </c>
      <c r="AY53" s="100"/>
      <c r="AZ53" s="171">
        <v>0</v>
      </c>
      <c r="BA53" s="173">
        <f ca="1">AX53</f>
        <v>216.719948630137</v>
      </c>
      <c r="BB53" s="100">
        <f ca="1">SUM(AZ53:BA53)</f>
        <v>216.719948630137</v>
      </c>
    </row>
    <row r="54" spans="2:54">
      <c r="B54" s="158" t="s">
        <v>239</v>
      </c>
      <c r="C54" s="155"/>
      <c r="D54" s="155"/>
      <c r="E54" s="155"/>
      <c r="F54" s="155"/>
      <c r="G54" s="155"/>
      <c r="H54" s="155"/>
      <c r="I54" s="155"/>
      <c r="J54" s="155"/>
      <c r="K54" s="155"/>
      <c r="L54" s="155"/>
      <c r="M54" s="155"/>
      <c r="N54" s="159">
        <f>SUM(CFS_TO!J35:J36)</f>
        <v>-17.5</v>
      </c>
      <c r="O54" s="159">
        <f>SUM(CFS_TO!K35:K36)</f>
        <v>-17.9375</v>
      </c>
      <c r="P54" s="159">
        <f>SUM(CFS_TO!L35:L36)</f>
        <v>-18.385937499999997</v>
      </c>
      <c r="Q54" s="159">
        <f>SUM(CFS_TO!M35:M36)</f>
        <v>-18.845585937499994</v>
      </c>
      <c r="R54" s="159">
        <f>SUM(CFS_TO!N35:N36)</f>
        <v>-19.31672558593749</v>
      </c>
      <c r="S54" s="159">
        <f>SUM(CFS_TO!O35:O36)</f>
        <v>-19.799643725585927</v>
      </c>
      <c r="V54" s="174"/>
      <c r="W54" s="174"/>
      <c r="X54" s="174"/>
      <c r="Y54" s="174"/>
      <c r="Z54" s="174"/>
      <c r="AA54" s="174"/>
      <c r="AB54" s="174"/>
      <c r="AC54" s="174"/>
      <c r="AD54" s="174"/>
      <c r="AE54" s="174"/>
      <c r="AF54" s="174"/>
      <c r="AG54" s="174"/>
      <c r="AH54" s="174"/>
      <c r="AI54" s="174"/>
      <c r="AJ54" s="174"/>
      <c r="AK54" s="174"/>
      <c r="AL54" s="174"/>
      <c r="AM54" s="174"/>
      <c r="AQ54" s="178" t="s">
        <v>462</v>
      </c>
      <c r="AX54" s="102"/>
      <c r="AY54" s="102">
        <f ca="1">-OFFSET($N$36,0,AU49-1)</f>
        <v>-80.80119863013698</v>
      </c>
      <c r="AZ54" s="172">
        <f ca="1">BA53+IF(AY54&lt;0,AY54,0)</f>
        <v>135.91875000000002</v>
      </c>
      <c r="BA54" s="102">
        <f ca="1">ABS(AY54)</f>
        <v>80.80119863013698</v>
      </c>
      <c r="BB54" s="102">
        <f ca="1">SUM(AZ54:BA54)</f>
        <v>216.719948630137</v>
      </c>
    </row>
    <row r="55" spans="2:54">
      <c r="B55" s="158" t="s">
        <v>511</v>
      </c>
      <c r="C55" s="155"/>
      <c r="D55" s="155"/>
      <c r="E55" s="155"/>
      <c r="F55" s="155"/>
      <c r="G55" s="155"/>
      <c r="H55" s="155"/>
      <c r="I55" s="155"/>
      <c r="J55" s="155"/>
      <c r="K55" s="155"/>
      <c r="L55" s="155"/>
      <c r="M55" s="155"/>
      <c r="N55" s="159">
        <f>SUM(CFS_TO!J37:J38)</f>
        <v>0</v>
      </c>
      <c r="O55" s="159">
        <f>SUM(CFS_TO!K37:K38)</f>
        <v>0</v>
      </c>
      <c r="P55" s="159">
        <f>SUM(CFS_TO!L37:L38)</f>
        <v>0</v>
      </c>
      <c r="Q55" s="159">
        <f>SUM(CFS_TO!M37:M38)</f>
        <v>0</v>
      </c>
      <c r="R55" s="159">
        <f>SUM(CFS_TO!N37:N38)</f>
        <v>0</v>
      </c>
      <c r="S55" s="159">
        <f>SUM(CFS_TO!O37:O38)</f>
        <v>0</v>
      </c>
      <c r="V55" s="174"/>
      <c r="W55" s="174"/>
      <c r="X55" s="174"/>
      <c r="Y55" s="174"/>
      <c r="Z55" s="174"/>
      <c r="AA55" s="174"/>
      <c r="AB55" s="174"/>
      <c r="AC55" s="174"/>
      <c r="AD55" s="174"/>
      <c r="AE55" s="174"/>
      <c r="AF55" s="174"/>
      <c r="AG55" s="174"/>
      <c r="AH55" s="174"/>
      <c r="AI55" s="174"/>
      <c r="AJ55" s="174"/>
      <c r="AK55" s="174"/>
      <c r="AL55" s="174"/>
      <c r="AM55" s="174"/>
      <c r="AQ55" s="179" t="s">
        <v>38</v>
      </c>
      <c r="AX55" s="103">
        <f ca="1">AX53+SUM(AY54:AY54)</f>
        <v>135.91875000000002</v>
      </c>
      <c r="AY55" s="103"/>
      <c r="AZ55" s="170">
        <v>0</v>
      </c>
      <c r="BA55" s="103">
        <f ca="1">SUM(AX53,AY54:AY54)</f>
        <v>135.91875000000002</v>
      </c>
      <c r="BB55" s="103">
        <f ca="1">SUM(AZ55:BA55)</f>
        <v>135.91875000000002</v>
      </c>
    </row>
    <row r="56" spans="2:54">
      <c r="B56" s="162" t="s">
        <v>437</v>
      </c>
      <c r="C56" s="155"/>
      <c r="D56" s="155"/>
      <c r="E56" s="155"/>
      <c r="F56" s="155"/>
      <c r="G56" s="155"/>
      <c r="H56" s="155"/>
      <c r="I56" s="155"/>
      <c r="J56" s="155"/>
      <c r="K56" s="155"/>
      <c r="L56" s="155"/>
      <c r="M56" s="155"/>
      <c r="N56" s="163">
        <f>SUM(N54:N55)</f>
        <v>-17.5</v>
      </c>
      <c r="O56" s="163">
        <f t="shared" ref="O56:S56" si="11">SUM(O54:O55)</f>
        <v>-17.9375</v>
      </c>
      <c r="P56" s="163">
        <f t="shared" si="11"/>
        <v>-18.385937499999997</v>
      </c>
      <c r="Q56" s="163">
        <f t="shared" si="11"/>
        <v>-18.845585937499994</v>
      </c>
      <c r="R56" s="163">
        <f t="shared" si="11"/>
        <v>-19.31672558593749</v>
      </c>
      <c r="S56" s="163">
        <f t="shared" si="11"/>
        <v>-19.799643725585927</v>
      </c>
      <c r="V56" s="174"/>
      <c r="W56" s="174"/>
      <c r="X56" s="174"/>
      <c r="Y56" s="174"/>
      <c r="Z56" s="174"/>
      <c r="AA56" s="174"/>
      <c r="AB56" s="174"/>
      <c r="AC56" s="174"/>
      <c r="AD56" s="174"/>
      <c r="AE56" s="174"/>
      <c r="AF56" s="174"/>
      <c r="AG56" s="174"/>
      <c r="AH56" s="174"/>
      <c r="AI56" s="174"/>
      <c r="AJ56" s="174"/>
      <c r="AK56" s="174"/>
      <c r="AL56" s="174"/>
      <c r="AM56" s="174"/>
    </row>
    <row r="57" spans="2:54">
      <c r="B57" s="155"/>
      <c r="C57" s="155"/>
      <c r="D57" s="155"/>
      <c r="E57" s="155"/>
      <c r="F57" s="155"/>
      <c r="G57" s="155"/>
      <c r="H57" s="155"/>
      <c r="I57" s="155"/>
      <c r="J57" s="155"/>
      <c r="K57" s="155"/>
      <c r="L57" s="155"/>
      <c r="M57" s="155"/>
      <c r="N57" s="159"/>
      <c r="O57" s="159"/>
      <c r="P57" s="159"/>
      <c r="Q57" s="159"/>
      <c r="R57" s="159"/>
      <c r="S57" s="159"/>
      <c r="V57" s="174"/>
      <c r="W57" s="174"/>
      <c r="X57" s="174"/>
      <c r="Y57" s="174"/>
      <c r="Z57" s="174"/>
      <c r="AA57" s="174"/>
      <c r="AB57" s="174"/>
      <c r="AC57" s="174"/>
      <c r="AD57" s="174"/>
      <c r="AE57" s="174"/>
      <c r="AF57" s="174"/>
      <c r="AG57" s="174"/>
      <c r="AH57" s="174"/>
      <c r="AI57" s="174"/>
      <c r="AJ57" s="174"/>
      <c r="AK57" s="174"/>
      <c r="AL57" s="174"/>
      <c r="AM57" s="174"/>
    </row>
    <row r="58" spans="2:54">
      <c r="B58" s="158" t="s">
        <v>438</v>
      </c>
      <c r="C58" s="155"/>
      <c r="D58" s="155"/>
      <c r="E58" s="155"/>
      <c r="F58" s="155"/>
      <c r="G58" s="155"/>
      <c r="H58" s="155"/>
      <c r="I58" s="155"/>
      <c r="J58" s="155"/>
      <c r="K58" s="155"/>
      <c r="L58" s="155"/>
      <c r="M58" s="155"/>
      <c r="N58" s="159">
        <f>SUM(CFS_TO!J43:J44)</f>
        <v>0</v>
      </c>
      <c r="O58" s="159">
        <f>SUM(CFS_TO!K43:K44)</f>
        <v>0</v>
      </c>
      <c r="P58" s="159">
        <f>SUM(CFS_TO!L43:L44)</f>
        <v>0</v>
      </c>
      <c r="Q58" s="159">
        <f>SUM(CFS_TO!M43:M44)</f>
        <v>0</v>
      </c>
      <c r="R58" s="159">
        <f>SUM(CFS_TO!N43:N44)</f>
        <v>5</v>
      </c>
      <c r="S58" s="159">
        <f>SUM(CFS_TO!O43:O44)</f>
        <v>0</v>
      </c>
      <c r="V58" s="174"/>
      <c r="W58" s="174"/>
      <c r="X58" s="174"/>
      <c r="Y58" s="174"/>
      <c r="Z58" s="174"/>
      <c r="AA58" s="174"/>
      <c r="AB58" s="174"/>
      <c r="AC58" s="174"/>
      <c r="AD58" s="174"/>
      <c r="AE58" s="174"/>
      <c r="AF58" s="174"/>
      <c r="AG58" s="174"/>
      <c r="AH58" s="174"/>
      <c r="AI58" s="174"/>
      <c r="AJ58" s="174"/>
      <c r="AK58" s="174"/>
      <c r="AL58" s="174"/>
      <c r="AM58" s="174"/>
    </row>
    <row r="59" spans="2:54">
      <c r="B59" s="158" t="s">
        <v>439</v>
      </c>
      <c r="C59" s="155"/>
      <c r="D59" s="155"/>
      <c r="E59" s="155"/>
      <c r="F59" s="155"/>
      <c r="G59" s="155"/>
      <c r="H59" s="155"/>
      <c r="I59" s="155"/>
      <c r="J59" s="155"/>
      <c r="K59" s="155"/>
      <c r="L59" s="155"/>
      <c r="M59" s="155"/>
      <c r="N59" s="159">
        <f>SUM(CFS_TO!J45:J46)</f>
        <v>0</v>
      </c>
      <c r="O59" s="159">
        <f>SUM(CFS_TO!K45:K46)</f>
        <v>0</v>
      </c>
      <c r="P59" s="159">
        <f>SUM(CFS_TO!L45:L46)</f>
        <v>0</v>
      </c>
      <c r="Q59" s="159">
        <f>SUM(CFS_TO!M45:M46)</f>
        <v>0</v>
      </c>
      <c r="R59" s="159">
        <f>SUM(CFS_TO!N45:N46)</f>
        <v>0</v>
      </c>
      <c r="S59" s="159">
        <f>SUM(CFS_TO!O45:O46)</f>
        <v>0</v>
      </c>
      <c r="V59" s="174"/>
      <c r="W59" s="174"/>
      <c r="X59" s="174"/>
      <c r="Y59" s="174"/>
      <c r="Z59" s="174"/>
      <c r="AA59" s="174"/>
      <c r="AB59" s="174"/>
      <c r="AC59" s="174"/>
      <c r="AD59" s="174"/>
      <c r="AE59" s="174"/>
      <c r="AF59" s="174"/>
      <c r="AG59" s="174"/>
      <c r="AH59" s="174"/>
      <c r="AI59" s="174"/>
      <c r="AJ59" s="174"/>
      <c r="AK59" s="174"/>
      <c r="AL59" s="174"/>
      <c r="AM59" s="174"/>
    </row>
    <row r="60" spans="2:54">
      <c r="B60" s="158" t="s">
        <v>440</v>
      </c>
      <c r="C60" s="155"/>
      <c r="D60" s="155"/>
      <c r="E60" s="155"/>
      <c r="F60" s="155"/>
      <c r="G60" s="155"/>
      <c r="H60" s="155"/>
      <c r="I60" s="155"/>
      <c r="J60" s="155"/>
      <c r="K60" s="155"/>
      <c r="L60" s="155"/>
      <c r="M60" s="155"/>
      <c r="N60" s="159">
        <f>CFS_TO!J47</f>
        <v>-14.918749999999999</v>
      </c>
      <c r="O60" s="159">
        <f>CFS_TO!K47</f>
        <v>-15.32015625</v>
      </c>
      <c r="P60" s="159">
        <f>CFS_TO!L47</f>
        <v>-15.731597656250003</v>
      </c>
      <c r="Q60" s="159">
        <f>CFS_TO!M47</f>
        <v>-16.153325097656253</v>
      </c>
      <c r="R60" s="159">
        <f>CFS_TO!N47</f>
        <v>-16.528720725097664</v>
      </c>
      <c r="S60" s="159">
        <f>CFS_TO!O47</f>
        <v>-16.914923118225101</v>
      </c>
      <c r="V60" s="174"/>
      <c r="W60" s="174"/>
      <c r="X60" s="174"/>
      <c r="Y60" s="174"/>
      <c r="Z60" s="174"/>
      <c r="AA60" s="174"/>
      <c r="AB60" s="174"/>
      <c r="AC60" s="174"/>
      <c r="AD60" s="174"/>
      <c r="AE60" s="174"/>
      <c r="AF60" s="174"/>
      <c r="AG60" s="174"/>
      <c r="AH60" s="174"/>
      <c r="AI60" s="174"/>
      <c r="AJ60" s="174"/>
      <c r="AK60" s="174"/>
      <c r="AL60" s="174"/>
      <c r="AM60" s="174"/>
    </row>
    <row r="61" spans="2:54">
      <c r="B61" s="162" t="s">
        <v>441</v>
      </c>
      <c r="C61" s="155"/>
      <c r="D61" s="155"/>
      <c r="E61" s="155"/>
      <c r="F61" s="155"/>
      <c r="G61" s="155"/>
      <c r="H61" s="155"/>
      <c r="I61" s="155"/>
      <c r="J61" s="155"/>
      <c r="K61" s="155"/>
      <c r="L61" s="155"/>
      <c r="M61" s="155"/>
      <c r="N61" s="163">
        <f>SUM(N58:N60)</f>
        <v>-14.918749999999999</v>
      </c>
      <c r="O61" s="163">
        <f t="shared" ref="O61:S61" si="12">SUM(O58:O60)</f>
        <v>-15.32015625</v>
      </c>
      <c r="P61" s="163">
        <f t="shared" si="12"/>
        <v>-15.731597656250003</v>
      </c>
      <c r="Q61" s="163">
        <f t="shared" si="12"/>
        <v>-16.153325097656253</v>
      </c>
      <c r="R61" s="163">
        <f t="shared" si="12"/>
        <v>-11.528720725097664</v>
      </c>
      <c r="S61" s="163">
        <f t="shared" si="12"/>
        <v>-16.914923118225101</v>
      </c>
      <c r="V61" s="174"/>
      <c r="W61" s="174"/>
      <c r="X61" s="174"/>
      <c r="Y61" s="174"/>
      <c r="Z61" s="174"/>
      <c r="AA61" s="174"/>
      <c r="AB61" s="174"/>
      <c r="AC61" s="174"/>
      <c r="AD61" s="174"/>
      <c r="AE61" s="174"/>
      <c r="AF61" s="174"/>
      <c r="AG61" s="174"/>
      <c r="AH61" s="174"/>
      <c r="AI61" s="174"/>
      <c r="AJ61" s="174"/>
      <c r="AK61" s="174"/>
      <c r="AL61" s="174"/>
      <c r="AM61" s="174"/>
    </row>
    <row r="62" spans="2:54">
      <c r="B62" s="155"/>
      <c r="C62" s="155"/>
      <c r="D62" s="155"/>
      <c r="E62" s="155"/>
      <c r="F62" s="155"/>
      <c r="G62" s="155"/>
      <c r="H62" s="155"/>
      <c r="I62" s="155"/>
      <c r="J62" s="155"/>
      <c r="K62" s="155"/>
      <c r="L62" s="155"/>
      <c r="M62" s="155"/>
      <c r="N62" s="159"/>
      <c r="O62" s="159"/>
      <c r="P62" s="159"/>
      <c r="Q62" s="159"/>
      <c r="R62" s="159"/>
      <c r="S62" s="159"/>
      <c r="V62" s="174"/>
      <c r="W62" s="174"/>
      <c r="X62" s="174"/>
      <c r="Y62" s="174"/>
      <c r="Z62" s="174"/>
      <c r="AA62" s="174"/>
      <c r="AB62" s="174"/>
      <c r="AC62" s="174"/>
      <c r="AD62" s="174"/>
      <c r="AE62" s="174"/>
      <c r="AF62" s="174"/>
      <c r="AG62" s="174"/>
      <c r="AH62" s="174"/>
      <c r="AI62" s="174"/>
      <c r="AJ62" s="174"/>
      <c r="AK62" s="174"/>
      <c r="AL62" s="174"/>
      <c r="AM62" s="174"/>
    </row>
    <row r="63" spans="2:54" ht="11.25" thickBot="1">
      <c r="B63" s="162" t="s">
        <v>443</v>
      </c>
      <c r="C63" s="155"/>
      <c r="D63" s="155"/>
      <c r="E63" s="155"/>
      <c r="F63" s="155"/>
      <c r="G63" s="155"/>
      <c r="H63" s="155"/>
      <c r="I63" s="155"/>
      <c r="J63" s="155"/>
      <c r="K63" s="155"/>
      <c r="L63" s="155"/>
      <c r="M63" s="155"/>
      <c r="N63" s="161">
        <f t="shared" ref="N63:S63" si="13">N52+N56+N61</f>
        <v>23.570976027397268</v>
      </c>
      <c r="O63" s="161">
        <f t="shared" si="13"/>
        <v>12.148336900684914</v>
      </c>
      <c r="P63" s="161">
        <f t="shared" si="13"/>
        <v>12.486971075503874</v>
      </c>
      <c r="Q63" s="161">
        <f t="shared" si="13"/>
        <v>12.814444141480315</v>
      </c>
      <c r="R63" s="161">
        <f t="shared" si="13"/>
        <v>18.064268203626661</v>
      </c>
      <c r="S63" s="161">
        <f t="shared" si="13"/>
        <v>13.365078033717339</v>
      </c>
      <c r="V63" s="174"/>
      <c r="W63" s="174"/>
      <c r="X63" s="174"/>
      <c r="Y63" s="174"/>
      <c r="Z63" s="174"/>
      <c r="AA63" s="174"/>
      <c r="AB63" s="174"/>
      <c r="AC63" s="174"/>
      <c r="AD63" s="174"/>
      <c r="AE63" s="174"/>
      <c r="AF63" s="174"/>
      <c r="AG63" s="174"/>
      <c r="AH63" s="174"/>
      <c r="AI63" s="174"/>
      <c r="AJ63" s="174"/>
      <c r="AK63" s="174"/>
      <c r="AL63" s="174"/>
      <c r="AM63" s="174"/>
    </row>
    <row r="64" spans="2:54" ht="11.25" thickTop="1"/>
  </sheetData>
  <mergeCells count="17">
    <mergeCell ref="B7:S7"/>
    <mergeCell ref="B3:K3"/>
    <mergeCell ref="AZ51:AZ52"/>
    <mergeCell ref="BA51:BA52"/>
    <mergeCell ref="BB51:BB52"/>
    <mergeCell ref="AY51:AY52"/>
    <mergeCell ref="AX51:AX52"/>
    <mergeCell ref="B4:C4"/>
    <mergeCell ref="D4:E4"/>
    <mergeCell ref="F4:G4"/>
    <mergeCell ref="H4:I4"/>
    <mergeCell ref="J4:K4"/>
    <mergeCell ref="V7:AM7"/>
    <mergeCell ref="B26:S26"/>
    <mergeCell ref="V27:AM27"/>
    <mergeCell ref="B45:S45"/>
    <mergeCell ref="V46:AM46"/>
  </mergeCells>
  <dataValidations count="2">
    <dataValidation type="whole" showDropDown="1" showErrorMessage="1" errorTitle="0 Cell Link" error="The value in a 0 cell link must be a whole number within the control's lookup range rows." sqref="AU40">
      <formula1>1</formula1>
      <formula2>ROWS(LU_Dashboard_Selected_Period )</formula2>
    </dataValidation>
    <dataValidation type="whole" showDropDown="1" showErrorMessage="1" errorTitle="0 Cell Link" error="The value in a 0 cell link must be a whole number within the control's lookup range rows." sqref="AU49">
      <formula1>1</formula1>
      <formula2>ROWS(LU_Dashboard_Selected_Period )</formula2>
    </dataValidation>
  </dataValidations>
  <hyperlinks>
    <hyperlink ref="B3" location="HL_Home" tooltip="Go to Table of Contents" display="HL_Home"/>
    <hyperlink ref="A4" location="$B$5" tooltip="Go to Top of Sheet" display="$B$5"/>
    <hyperlink ref="D4" location="HL_Sheet_Main_39" tooltip="Go to Next Sheet" display="HL_Sheet_Main_39"/>
    <hyperlink ref="B4" location="HL_Sheet_Main_20" tooltip="Go to Previous Sheet" display="HL_Sheet_Main_20"/>
    <hyperlink ref="F4" location="HL_Err_Chk" tooltip="Go to Error Checks" display="HL_Err_Chk"/>
    <hyperlink ref="H4" location="HL_Sens_Chk" tooltip="Go to Sensitivity Checks" display="HL_Sens_Chk"/>
    <hyperlink ref="J4" location="HL_Alt_Chk" tooltip="Go to Alert Checks" display="HL_Alt_Chk"/>
  </hyperlinks>
  <pageMargins left="0.39370078740157483" right="0.39370078740157483" top="0.59055118110236227" bottom="0.98425196850393704" header="0" footer="0.31496062992125984"/>
  <pageSetup paperSize="8" orientation="landscape" horizontalDpi="300" verticalDpi="300" r:id="rId1"/>
  <headerFooter>
    <oddFooter>&amp;L&amp;F
&amp;A
Printed: &amp;T on &amp;D&amp;CPage &amp;P of &amp;N&amp;R&amp;G</oddFooter>
  </headerFooter>
  <drawing r:id="rId2"/>
  <legacyDrawing r:id="rId3"/>
  <legacyDrawingHF r:id="rId4"/>
</worksheet>
</file>

<file path=xl/worksheets/sheet23.xml><?xml version="1.0" encoding="utf-8"?>
<worksheet xmlns="http://schemas.openxmlformats.org/spreadsheetml/2006/main" xmlns:r="http://schemas.openxmlformats.org/officeDocument/2006/relationships">
  <sheetPr codeName="Sheet22">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189</v>
      </c>
    </row>
    <row r="10" spans="3:7" ht="16.5">
      <c r="C10" s="28" t="s">
        <v>202</v>
      </c>
    </row>
    <row r="11" spans="3:7" ht="15">
      <c r="C11" s="2" t="str">
        <f>Model_Name</f>
        <v>SMA 8. Calculation Formulae - Best Practice Model Example</v>
      </c>
    </row>
    <row r="12" spans="3:7">
      <c r="C12" s="245" t="s">
        <v>49</v>
      </c>
      <c r="D12" s="245"/>
      <c r="E12" s="245"/>
      <c r="F12" s="245"/>
      <c r="G12" s="245"/>
    </row>
    <row r="13" spans="3:7" ht="12.75">
      <c r="C13" s="12" t="s">
        <v>54</v>
      </c>
      <c r="D13" s="13" t="s">
        <v>103</v>
      </c>
    </row>
    <row r="17" spans="3:3">
      <c r="C17" s="26" t="s">
        <v>467</v>
      </c>
    </row>
    <row r="18" spans="3:3">
      <c r="C18" s="198" t="s">
        <v>541</v>
      </c>
    </row>
    <row r="19" spans="3:3">
      <c r="C19" s="27"/>
    </row>
    <row r="20" spans="3:3">
      <c r="C20" s="27"/>
    </row>
  </sheetData>
  <mergeCells count="1">
    <mergeCell ref="C12:G12"/>
  </mergeCells>
  <hyperlinks>
    <hyperlink ref="C12" location="HL_Home" tooltip="Go to Table of Contents" display="HL_Home"/>
    <hyperlink ref="C13" location="HL_Sheet_Main_19" tooltip="Go to Previous Sheet" display="HL_Sheet_Main_19"/>
    <hyperlink ref="D13" location="HL_Sheet_Main_13" tooltip="Go to Next Sheet" display="HL_Sheet_Main_13"/>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4.xml><?xml version="1.0" encoding="utf-8"?>
<worksheet xmlns="http://schemas.openxmlformats.org/spreadsheetml/2006/main" xmlns:r="http://schemas.openxmlformats.org/officeDocument/2006/relationships">
  <sheetPr codeName="Sheet2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190</v>
      </c>
    </row>
    <row r="10" spans="3:7" ht="16.5">
      <c r="C10" s="28" t="s">
        <v>530</v>
      </c>
    </row>
    <row r="11" spans="3:7" ht="15">
      <c r="C11" s="2" t="str">
        <f>Model_Name</f>
        <v>SMA 8. Calculation Formulae - Best Practice Model Example</v>
      </c>
    </row>
    <row r="12" spans="3:7">
      <c r="C12" s="245" t="s">
        <v>49</v>
      </c>
      <c r="D12" s="245"/>
      <c r="E12" s="245"/>
      <c r="F12" s="245"/>
      <c r="G12" s="245"/>
    </row>
    <row r="13" spans="3:7" ht="12.75">
      <c r="C13" s="12" t="s">
        <v>54</v>
      </c>
      <c r="D13" s="13" t="s">
        <v>103</v>
      </c>
    </row>
    <row r="17" spans="3:3">
      <c r="C17" s="26" t="s">
        <v>468</v>
      </c>
    </row>
    <row r="18" spans="3:3">
      <c r="C18" s="198" t="s">
        <v>542</v>
      </c>
    </row>
    <row r="19" spans="3:3">
      <c r="C19" s="27"/>
    </row>
    <row r="20" spans="3:3">
      <c r="C20" s="27"/>
    </row>
  </sheetData>
  <mergeCells count="1">
    <mergeCell ref="C12:G12"/>
  </mergeCells>
  <hyperlinks>
    <hyperlink ref="C12" location="HL_Home" tooltip="Go to Table of Contents" display="HL_Home"/>
    <hyperlink ref="C13" location="HL_Sheet_Main_39" tooltip="Go to Previous Sheet" display="HL_Sheet_Main_39"/>
    <hyperlink ref="D13" location="HL_Sheet_Main_14" tooltip="Go to Next Sheet" display="HL_Sheet_Main_14"/>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5.xml><?xml version="1.0" encoding="utf-8"?>
<worksheet xmlns="http://schemas.openxmlformats.org/spreadsheetml/2006/main" xmlns:r="http://schemas.openxmlformats.org/officeDocument/2006/relationships">
  <sheetPr codeName="Sheet24">
    <pageSetUpPr autoPageBreaks="0"/>
  </sheetPr>
  <dimension ref="A1:M65"/>
  <sheetViews>
    <sheetView showGridLines="0" zoomScaleNormal="100" workbookViewId="0">
      <pane xSplit="1" ySplit="4" topLeftCell="B5" activePane="bottomRight" state="frozen"/>
      <selection activeCell="Q57" sqref="Q57"/>
      <selection pane="topRight" activeCell="Q57" sqref="Q57"/>
      <selection pane="bottomLeft" activeCell="Q57" sqref="Q57"/>
      <selection pane="bottomRight"/>
    </sheetView>
  </sheetViews>
  <sheetFormatPr defaultRowHeight="10.5"/>
  <cols>
    <col min="1" max="5" width="3.83203125" customWidth="1"/>
    <col min="6" max="256" width="11.83203125" customWidth="1"/>
  </cols>
  <sheetData>
    <row r="1" spans="1:9" ht="18">
      <c r="B1" s="1" t="s">
        <v>190</v>
      </c>
    </row>
    <row r="2" spans="1:9" ht="15">
      <c r="B2" s="2" t="str">
        <f>Model_Name</f>
        <v>SMA 8. Calculation Formulae - Best Practice Model Example</v>
      </c>
    </row>
    <row r="3" spans="1:9">
      <c r="B3" s="245" t="s">
        <v>49</v>
      </c>
      <c r="C3" s="245"/>
      <c r="D3" s="245"/>
      <c r="E3" s="245"/>
      <c r="F3" s="245"/>
    </row>
    <row r="4" spans="1:9" ht="12.75">
      <c r="A4" s="11" t="s">
        <v>52</v>
      </c>
      <c r="B4" s="12" t="s">
        <v>54</v>
      </c>
      <c r="C4" s="13" t="s">
        <v>103</v>
      </c>
      <c r="D4" s="238" t="s">
        <v>206</v>
      </c>
      <c r="E4" s="238" t="s">
        <v>207</v>
      </c>
      <c r="F4" s="14" t="s">
        <v>208</v>
      </c>
    </row>
    <row r="7" spans="1:9" ht="12.75">
      <c r="B7" s="33" t="s">
        <v>227</v>
      </c>
    </row>
    <row r="9" spans="1:9" ht="17.25" customHeight="1">
      <c r="C9" s="72" t="b">
        <v>1</v>
      </c>
    </row>
    <row r="11" spans="1:9" ht="11.25">
      <c r="C11" s="34" t="s">
        <v>228</v>
      </c>
    </row>
    <row r="13" spans="1:9">
      <c r="D13" s="77" t="str">
        <f>D30</f>
        <v>Total Errors:</v>
      </c>
      <c r="I13" s="79">
        <f>Err_Chks_Ttl_Areas</f>
        <v>0</v>
      </c>
    </row>
    <row r="14" spans="1:9">
      <c r="D14" s="80" t="s">
        <v>231</v>
      </c>
      <c r="I14" s="81" t="str">
        <f>IF(OR(NOT(CB_Err_Chks_Show_Msg),Err_Chks_Ttl_Areas=0),"",IF(Err_Chks_Ttl_Areas=1," (Error in "&amp;INDEX(CA_Err_Chks_Area_Names,MATCH(1,CA_Err_Chks_Flags,0))&amp;")"," ("&amp;TEXT(Err_Chks_Ttl_Areas,"#,##0")&amp;" Errors Detected)"))</f>
        <v/>
      </c>
    </row>
    <row r="16" spans="1:9" ht="11.25">
      <c r="C16" s="34" t="s">
        <v>227</v>
      </c>
    </row>
    <row r="18" spans="4:13">
      <c r="D18" s="73" t="s">
        <v>227</v>
      </c>
      <c r="E18" s="18"/>
      <c r="F18" s="18"/>
      <c r="G18" s="18"/>
      <c r="H18" s="18"/>
      <c r="I18" s="18"/>
      <c r="J18" s="18"/>
      <c r="K18" s="74" t="s">
        <v>229</v>
      </c>
      <c r="L18" s="74" t="s">
        <v>230</v>
      </c>
      <c r="M18" s="74" t="s">
        <v>389</v>
      </c>
    </row>
    <row r="19" spans="4:13" s="16" customFormat="1">
      <c r="D19" s="82"/>
      <c r="E19" s="22"/>
      <c r="F19" s="22"/>
      <c r="G19" s="22"/>
      <c r="H19" s="22"/>
      <c r="I19" s="22"/>
      <c r="J19" s="22"/>
      <c r="K19" s="83"/>
      <c r="L19" s="83"/>
      <c r="M19" s="83"/>
    </row>
    <row r="20" spans="4:13">
      <c r="D20" s="226" t="str">
        <f>IF(ISERROR(Err_Chk_1_Hdg),"Miscellaneous Check",Err_Chk_1_Hdg)</f>
        <v>Working Capital - Assumptions</v>
      </c>
      <c r="E20" s="9"/>
      <c r="F20" s="9"/>
      <c r="G20" s="9"/>
      <c r="H20" s="9"/>
      <c r="I20" s="9"/>
      <c r="J20" s="9"/>
      <c r="K20" s="78">
        <f>IF(ISERROR(HL_Err_Chk_1),1,(HL_Err_Chk_1&lt;&gt;0)*1)</f>
        <v>0</v>
      </c>
      <c r="L20" s="71" t="s">
        <v>87</v>
      </c>
      <c r="M20" s="75">
        <f t="shared" ref="M20:M28" si="0">K20*(L20="Yes")</f>
        <v>0</v>
      </c>
    </row>
    <row r="21" spans="4:13" s="16" customFormat="1">
      <c r="D21" s="226" t="str">
        <f>IF(ISERROR(Err_Chk_2_Hdg),"Miscellaneous Check",Err_Chk_2_Hdg)</f>
        <v>Accounts Receivable Balances ($Millions)</v>
      </c>
      <c r="E21" s="9"/>
      <c r="F21" s="9"/>
      <c r="G21" s="9"/>
      <c r="H21" s="9"/>
      <c r="I21" s="9"/>
      <c r="J21" s="9"/>
      <c r="K21" s="78">
        <f>IF(ISERROR(HL_Err_Chk_2),1,(HL_Err_Chk_2&lt;&gt;0)*1)</f>
        <v>0</v>
      </c>
      <c r="L21" s="71" t="s">
        <v>87</v>
      </c>
      <c r="M21" s="75">
        <f t="shared" si="0"/>
        <v>0</v>
      </c>
    </row>
    <row r="22" spans="4:13" s="16" customFormat="1">
      <c r="D22" s="226" t="str">
        <f>IF(ISERROR(Err_Chk_3_Hdg),"Miscellaneous Check",Err_Chk_3_Hdg)</f>
        <v>Accounts Payable Balances ($Millions)</v>
      </c>
      <c r="E22" s="9"/>
      <c r="F22" s="9"/>
      <c r="G22" s="9"/>
      <c r="H22" s="9"/>
      <c r="I22" s="9"/>
      <c r="J22" s="9"/>
      <c r="K22" s="78">
        <f>IF(ISERROR(HL_Err_Chk_3),1,(HL_Err_Chk_3&lt;&gt;0)*1)</f>
        <v>0</v>
      </c>
      <c r="L22" s="71" t="s">
        <v>87</v>
      </c>
      <c r="M22" s="75">
        <f t="shared" si="0"/>
        <v>0</v>
      </c>
    </row>
    <row r="23" spans="4:13" s="16" customFormat="1">
      <c r="D23" s="226" t="str">
        <f>IF(ISERROR(Err_Chk_4_Hdg),"Miscellaneous Check",Err_Chk_4_Hdg)</f>
        <v>Assets Balances ($Millions)</v>
      </c>
      <c r="E23" s="9"/>
      <c r="F23" s="9"/>
      <c r="G23" s="9"/>
      <c r="H23" s="9"/>
      <c r="I23" s="9"/>
      <c r="J23" s="9"/>
      <c r="K23" s="78">
        <f>IF(ISERROR(HL_Err_Chk_4),1,(HL_Err_Chk_4&lt;&gt;0)*1)</f>
        <v>0</v>
      </c>
      <c r="L23" s="71" t="s">
        <v>87</v>
      </c>
      <c r="M23" s="75">
        <f t="shared" si="0"/>
        <v>0</v>
      </c>
    </row>
    <row r="24" spans="4:13" s="16" customFormat="1">
      <c r="D24" s="226" t="str">
        <f>IF(ISERROR(Err_Chk_5_Hdg),"Miscellaneous Check",Err_Chk_5_Hdg)</f>
        <v>Intangibles Balances ($Millions)</v>
      </c>
      <c r="E24" s="9"/>
      <c r="F24" s="9"/>
      <c r="G24" s="9"/>
      <c r="H24" s="9"/>
      <c r="I24" s="9"/>
      <c r="J24" s="9"/>
      <c r="K24" s="78">
        <f>IF(ISERROR(HL_Err_Chk_5),1,(HL_Err_Chk_5&lt;&gt;0)*1)</f>
        <v>0</v>
      </c>
      <c r="L24" s="71" t="s">
        <v>87</v>
      </c>
      <c r="M24" s="75">
        <f t="shared" si="0"/>
        <v>0</v>
      </c>
    </row>
    <row r="25" spans="4:13" s="16" customFormat="1">
      <c r="D25" s="226" t="str">
        <f>IF(ISERROR(Err_Chk_15_Hdg),"Miscellaneous Check",Err_Chk_15_Hdg)</f>
        <v>Ordinary Equity - Outputs</v>
      </c>
      <c r="E25" s="9"/>
      <c r="F25" s="9"/>
      <c r="G25" s="9"/>
      <c r="H25" s="9"/>
      <c r="I25" s="9"/>
      <c r="J25" s="9"/>
      <c r="K25" s="78">
        <f>IF(ISERROR(HL_Err_Chk_15),1,(HL_Err_Chk_15&lt;&gt;0)*1)</f>
        <v>0</v>
      </c>
      <c r="L25" s="71" t="s">
        <v>87</v>
      </c>
      <c r="M25" s="75">
        <f t="shared" si="0"/>
        <v>0</v>
      </c>
    </row>
    <row r="26" spans="4:13" s="16" customFormat="1">
      <c r="D26" s="226" t="str">
        <f>IF(ISERROR(Err_Chk_11_Hdg),"Miscellaneous Check",Err_Chk_11_Hdg)</f>
        <v>Income Statement</v>
      </c>
      <c r="E26" s="9"/>
      <c r="F26" s="9"/>
      <c r="G26" s="9"/>
      <c r="H26" s="9"/>
      <c r="I26" s="9"/>
      <c r="J26" s="9"/>
      <c r="K26" s="78">
        <f>IF(ISERROR(HL_Err_Chk_11),1,(HL_Err_Chk_11&lt;&gt;0)*1)</f>
        <v>0</v>
      </c>
      <c r="L26" s="71" t="s">
        <v>87</v>
      </c>
      <c r="M26" s="75">
        <f t="shared" si="0"/>
        <v>0</v>
      </c>
    </row>
    <row r="27" spans="4:13" s="16" customFormat="1">
      <c r="D27" s="226" t="str">
        <f>IF(ISERROR(Err_Chk_13_Hdg),"Miscellaneous Check",Err_Chk_13_Hdg)</f>
        <v>Balance Sheet</v>
      </c>
      <c r="E27" s="9"/>
      <c r="F27" s="9"/>
      <c r="G27" s="9"/>
      <c r="H27" s="9"/>
      <c r="I27" s="9"/>
      <c r="J27" s="9"/>
      <c r="K27" s="78">
        <f>IF(ISERROR(HL_Err_Chk_13),1,(HL_Err_Chk_13&lt;&gt;0)*1)</f>
        <v>0</v>
      </c>
      <c r="L27" s="71" t="s">
        <v>87</v>
      </c>
      <c r="M27" s="75">
        <f t="shared" si="0"/>
        <v>0</v>
      </c>
    </row>
    <row r="28" spans="4:13" s="16" customFormat="1">
      <c r="D28" s="226" t="str">
        <f>IF(ISERROR(Err_Chk_14_Hdg),"Miscellaneous Check",Err_Chk_14_Hdg)</f>
        <v>Cash Flow Statement</v>
      </c>
      <c r="E28" s="9"/>
      <c r="F28" s="9"/>
      <c r="G28" s="9"/>
      <c r="H28" s="9"/>
      <c r="I28" s="9"/>
      <c r="J28" s="9"/>
      <c r="K28" s="78">
        <f>IF(ISERROR(HL_Err_Chk_14),1,(HL_Err_Chk_14&lt;&gt;0)*1)</f>
        <v>0</v>
      </c>
      <c r="L28" s="71" t="s">
        <v>87</v>
      </c>
      <c r="M28" s="75">
        <f t="shared" si="0"/>
        <v>0</v>
      </c>
    </row>
    <row r="29" spans="4:13" s="16" customFormat="1"/>
    <row r="30" spans="4:13">
      <c r="D30" s="26" t="s">
        <v>390</v>
      </c>
      <c r="M30" s="76">
        <f>SUMIF(CA_Err_Chks_Inc,"Yes",CA_Err_Chks_Flags)</f>
        <v>0</v>
      </c>
    </row>
    <row r="33" spans="2:13" ht="12.75">
      <c r="B33" s="33" t="s">
        <v>232</v>
      </c>
    </row>
    <row r="35" spans="2:13" ht="17.25" customHeight="1">
      <c r="C35" s="72" t="b">
        <v>1</v>
      </c>
    </row>
    <row r="37" spans="2:13" ht="11.25">
      <c r="C37" s="34" t="s">
        <v>233</v>
      </c>
    </row>
    <row r="39" spans="2:13">
      <c r="D39" s="77" t="str">
        <f>D46</f>
        <v>Total Sensitivities:</v>
      </c>
      <c r="I39" s="79">
        <f>Sens_Chks_Ttl_Areas</f>
        <v>0</v>
      </c>
    </row>
    <row r="40" spans="2:13">
      <c r="D40" s="80" t="s">
        <v>234</v>
      </c>
      <c r="I40" s="81" t="str">
        <f>IF(OR(NOT(CB_Sens_Chks_Show_Msg),Sens_Chks_Ttl_Areas=0),"",IF(Sens_Chks_Ttl_Areas=1," (Sensitivity in "&amp;INDEX(CA_Sens_Chks_Area_Names,MATCH(1,CA_Sens_Chks_Flags,0))&amp;")"," ("&amp;TEXT(Sens_Chks_Ttl_Areas,"#,##0")&amp;" Sensitivities Detected)"))</f>
        <v/>
      </c>
    </row>
    <row r="42" spans="2:13" ht="11.25">
      <c r="C42" s="34" t="s">
        <v>232</v>
      </c>
    </row>
    <row r="44" spans="2:13">
      <c r="D44" s="73" t="s">
        <v>232</v>
      </c>
      <c r="E44" s="18"/>
      <c r="F44" s="18"/>
      <c r="G44" s="18"/>
      <c r="H44" s="18"/>
      <c r="I44" s="18"/>
      <c r="J44" s="18"/>
      <c r="K44" s="74" t="s">
        <v>229</v>
      </c>
      <c r="L44" s="74" t="s">
        <v>230</v>
      </c>
      <c r="M44" s="74" t="s">
        <v>389</v>
      </c>
    </row>
    <row r="45" spans="2:13">
      <c r="D45" s="16"/>
    </row>
    <row r="46" spans="2:13">
      <c r="D46" s="26" t="s">
        <v>391</v>
      </c>
      <c r="M46" s="76">
        <f>SUMIF(CA_Sens_Chks_Inc,"Yes",CA_Sens_Chks_Flags)</f>
        <v>0</v>
      </c>
    </row>
    <row r="49" spans="2:13" ht="12.75">
      <c r="B49" s="33" t="s">
        <v>235</v>
      </c>
    </row>
    <row r="51" spans="2:13" ht="17.25" customHeight="1">
      <c r="C51" s="72" t="b">
        <v>1</v>
      </c>
    </row>
    <row r="53" spans="2:13" ht="11.25">
      <c r="C53" s="34" t="s">
        <v>236</v>
      </c>
    </row>
    <row r="55" spans="2:13">
      <c r="D55" s="77" t="str">
        <f>D65</f>
        <v>Total Alerts:</v>
      </c>
      <c r="I55" s="79">
        <f>Alt_Chks_Ttl_Areas</f>
        <v>0</v>
      </c>
    </row>
    <row r="56" spans="2:13">
      <c r="D56" s="80" t="s">
        <v>237</v>
      </c>
      <c r="I56" s="81" t="str">
        <f>IF(OR(NOT(CB_Alt_Chks_Show_Msg),Alt_Chks_Ttl_Areas=0),"",IF(Alt_Chks_Ttl_Areas=1," (Alert in "&amp;INDEX(CA_Alt_Chks_Area_Names,MATCH(1,CA_Alt_Chks_Flags,0))&amp;")"," ("&amp;TEXT(Alt_Chks_Ttl_Areas,"#,##0")&amp;" Alerts Detected)"))</f>
        <v/>
      </c>
    </row>
    <row r="58" spans="2:13" ht="11.25">
      <c r="C58" s="34" t="s">
        <v>235</v>
      </c>
    </row>
    <row r="60" spans="2:13">
      <c r="D60" s="73" t="s">
        <v>235</v>
      </c>
      <c r="E60" s="18"/>
      <c r="F60" s="18"/>
      <c r="G60" s="18"/>
      <c r="H60" s="18"/>
      <c r="I60" s="18"/>
      <c r="J60" s="18"/>
      <c r="K60" s="74" t="s">
        <v>229</v>
      </c>
      <c r="L60" s="74" t="s">
        <v>230</v>
      </c>
      <c r="M60" s="74" t="s">
        <v>389</v>
      </c>
    </row>
    <row r="61" spans="2:13" s="16" customFormat="1">
      <c r="D61" s="82"/>
      <c r="E61" s="22"/>
      <c r="F61" s="22"/>
      <c r="G61" s="22"/>
      <c r="H61" s="22"/>
      <c r="I61" s="22"/>
      <c r="J61" s="22"/>
      <c r="K61" s="83"/>
      <c r="L61" s="83"/>
      <c r="M61" s="83"/>
    </row>
    <row r="62" spans="2:13">
      <c r="D62" s="226" t="str">
        <f>IF(ISERROR(Alt_Chk_15_Hdg),"Miscellaneous Check",Alt_Chk_15_Hdg)</f>
        <v>Ordinary Equity - Outputs</v>
      </c>
      <c r="E62" s="9"/>
      <c r="F62" s="9"/>
      <c r="G62" s="9"/>
      <c r="H62" s="9"/>
      <c r="I62" s="9"/>
      <c r="J62" s="9"/>
      <c r="K62" s="78">
        <f>IF(ISERROR(HL_Alt_Chk_15),1,(HL_Alt_Chk_15&lt;&gt;0)*1)</f>
        <v>0</v>
      </c>
      <c r="L62" s="71" t="s">
        <v>87</v>
      </c>
      <c r="M62" s="75">
        <f>K62*(L62="Yes")</f>
        <v>0</v>
      </c>
    </row>
    <row r="63" spans="2:13" s="16" customFormat="1">
      <c r="D63" s="226" t="str">
        <f>IF(ISERROR(Alt_Chk_14_Hdg),"Miscellaneous Check",Alt_Chk_14_Hdg)</f>
        <v>Balance Sheet</v>
      </c>
      <c r="E63" s="9"/>
      <c r="F63" s="9"/>
      <c r="G63" s="9"/>
      <c r="H63" s="9"/>
      <c r="I63" s="9"/>
      <c r="J63" s="9"/>
      <c r="K63" s="78">
        <f>IF(ISERROR(HL_Alt_Chk_14),1,(HL_Alt_Chk_14&lt;&gt;0)*1)</f>
        <v>0</v>
      </c>
      <c r="L63" s="71" t="s">
        <v>87</v>
      </c>
      <c r="M63" s="75">
        <f>K63*(L63="Yes")</f>
        <v>0</v>
      </c>
    </row>
    <row r="64" spans="2:13" s="16" customFormat="1"/>
    <row r="65" spans="4:13">
      <c r="D65" s="26" t="s">
        <v>392</v>
      </c>
      <c r="M65" s="76">
        <f>SUMIF(CA_Alt_Chks_Inc,"Yes",CA_Alt_Chks_Flags)</f>
        <v>0</v>
      </c>
    </row>
  </sheetData>
  <mergeCells count="1">
    <mergeCell ref="B3:F3"/>
  </mergeCells>
  <conditionalFormatting sqref="M46 I55 M30 I39 I13">
    <cfRule type="cellIs" dxfId="37" priority="1" stopIfTrue="1" operator="notEqual">
      <formula>0</formula>
    </cfRule>
  </conditionalFormatting>
  <conditionalFormatting sqref="M65">
    <cfRule type="cellIs" dxfId="36" priority="165" stopIfTrue="1" operator="notEqual">
      <formula>0</formula>
    </cfRule>
  </conditionalFormatting>
  <conditionalFormatting sqref="K20:K28">
    <cfRule type="cellIs" dxfId="35" priority="2007" stopIfTrue="1" operator="notEqual">
      <formula>0</formula>
    </cfRule>
  </conditionalFormatting>
  <conditionalFormatting sqref="D20">
    <cfRule type="expression" dxfId="34" priority="2074" stopIfTrue="1">
      <formula>K20&lt;&gt;0</formula>
    </cfRule>
  </conditionalFormatting>
  <conditionalFormatting sqref="L20">
    <cfRule type="expression" dxfId="33" priority="2076" stopIfTrue="1">
      <formula>K20&lt;&gt;0</formula>
    </cfRule>
  </conditionalFormatting>
  <conditionalFormatting sqref="M20">
    <cfRule type="expression" dxfId="32" priority="2077" stopIfTrue="1">
      <formula>K20&lt;&gt;0</formula>
    </cfRule>
  </conditionalFormatting>
  <conditionalFormatting sqref="D21">
    <cfRule type="expression" dxfId="31" priority="2078" stopIfTrue="1">
      <formula>K21&lt;&gt;0</formula>
    </cfRule>
  </conditionalFormatting>
  <conditionalFormatting sqref="L21">
    <cfRule type="expression" dxfId="30" priority="2080" stopIfTrue="1">
      <formula>K21&lt;&gt;0</formula>
    </cfRule>
  </conditionalFormatting>
  <conditionalFormatting sqref="M21">
    <cfRule type="expression" dxfId="29" priority="2081" stopIfTrue="1">
      <formula>K21&lt;&gt;0</formula>
    </cfRule>
  </conditionalFormatting>
  <conditionalFormatting sqref="D22">
    <cfRule type="expression" dxfId="28" priority="2082" stopIfTrue="1">
      <formula>K22&lt;&gt;0</formula>
    </cfRule>
  </conditionalFormatting>
  <conditionalFormatting sqref="L22">
    <cfRule type="expression" dxfId="27" priority="2084" stopIfTrue="1">
      <formula>K22&lt;&gt;0</formula>
    </cfRule>
  </conditionalFormatting>
  <conditionalFormatting sqref="M22">
    <cfRule type="expression" dxfId="26" priority="2085" stopIfTrue="1">
      <formula>K22&lt;&gt;0</formula>
    </cfRule>
  </conditionalFormatting>
  <conditionalFormatting sqref="D23">
    <cfRule type="expression" dxfId="25" priority="2086" stopIfTrue="1">
      <formula>K23&lt;&gt;0</formula>
    </cfRule>
  </conditionalFormatting>
  <conditionalFormatting sqref="L23">
    <cfRule type="expression" dxfId="24" priority="2088" stopIfTrue="1">
      <formula>K23&lt;&gt;0</formula>
    </cfRule>
  </conditionalFormatting>
  <conditionalFormatting sqref="M23">
    <cfRule type="expression" dxfId="23" priority="2089" stopIfTrue="1">
      <formula>K23&lt;&gt;0</formula>
    </cfRule>
  </conditionalFormatting>
  <conditionalFormatting sqref="D24">
    <cfRule type="expression" dxfId="22" priority="2090" stopIfTrue="1">
      <formula>K24&lt;&gt;0</formula>
    </cfRule>
  </conditionalFormatting>
  <conditionalFormatting sqref="L24">
    <cfRule type="expression" dxfId="21" priority="2092" stopIfTrue="1">
      <formula>K24&lt;&gt;0</formula>
    </cfRule>
  </conditionalFormatting>
  <conditionalFormatting sqref="M24">
    <cfRule type="expression" dxfId="20" priority="2093" stopIfTrue="1">
      <formula>K24&lt;&gt;0</formula>
    </cfRule>
  </conditionalFormatting>
  <conditionalFormatting sqref="D25">
    <cfRule type="expression" dxfId="19" priority="2094" stopIfTrue="1">
      <formula>K25&lt;&gt;0</formula>
    </cfRule>
  </conditionalFormatting>
  <conditionalFormatting sqref="L25">
    <cfRule type="expression" dxfId="18" priority="2096" stopIfTrue="1">
      <formula>K25&lt;&gt;0</formula>
    </cfRule>
  </conditionalFormatting>
  <conditionalFormatting sqref="M25">
    <cfRule type="expression" dxfId="17" priority="2097" stopIfTrue="1">
      <formula>K25&lt;&gt;0</formula>
    </cfRule>
  </conditionalFormatting>
  <conditionalFormatting sqref="D26">
    <cfRule type="expression" dxfId="16" priority="2098" stopIfTrue="1">
      <formula>K26&lt;&gt;0</formula>
    </cfRule>
  </conditionalFormatting>
  <conditionalFormatting sqref="L26">
    <cfRule type="expression" dxfId="15" priority="2100" stopIfTrue="1">
      <formula>K26&lt;&gt;0</formula>
    </cfRule>
  </conditionalFormatting>
  <conditionalFormatting sqref="M26">
    <cfRule type="expression" dxfId="14" priority="2101" stopIfTrue="1">
      <formula>K26&lt;&gt;0</formula>
    </cfRule>
  </conditionalFormatting>
  <conditionalFormatting sqref="D27">
    <cfRule type="expression" dxfId="13" priority="2102" stopIfTrue="1">
      <formula>K27&lt;&gt;0</formula>
    </cfRule>
  </conditionalFormatting>
  <conditionalFormatting sqref="L27">
    <cfRule type="expression" dxfId="12" priority="2104" stopIfTrue="1">
      <formula>K27&lt;&gt;0</formula>
    </cfRule>
  </conditionalFormatting>
  <conditionalFormatting sqref="M27">
    <cfRule type="expression" dxfId="11" priority="2105" stopIfTrue="1">
      <formula>K27&lt;&gt;0</formula>
    </cfRule>
  </conditionalFormatting>
  <conditionalFormatting sqref="D28">
    <cfRule type="expression" dxfId="10" priority="2106" stopIfTrue="1">
      <formula>K28&lt;&gt;0</formula>
    </cfRule>
  </conditionalFormatting>
  <conditionalFormatting sqref="L28">
    <cfRule type="expression" dxfId="9" priority="2108" stopIfTrue="1">
      <formula>K28&lt;&gt;0</formula>
    </cfRule>
  </conditionalFormatting>
  <conditionalFormatting sqref="M28">
    <cfRule type="expression" dxfId="8" priority="2109" stopIfTrue="1">
      <formula>K28&lt;&gt;0</formula>
    </cfRule>
  </conditionalFormatting>
  <conditionalFormatting sqref="D62">
    <cfRule type="expression" dxfId="7" priority="2110" stopIfTrue="1">
      <formula>K62&lt;&gt;0</formula>
    </cfRule>
  </conditionalFormatting>
  <conditionalFormatting sqref="K62">
    <cfRule type="cellIs" dxfId="6" priority="2111" stopIfTrue="1" operator="notEqual">
      <formula>0</formula>
    </cfRule>
  </conditionalFormatting>
  <conditionalFormatting sqref="L62">
    <cfRule type="expression" dxfId="5" priority="2112" stopIfTrue="1">
      <formula>K62&lt;&gt;0</formula>
    </cfRule>
  </conditionalFormatting>
  <conditionalFormatting sqref="M62">
    <cfRule type="expression" dxfId="4" priority="2113" stopIfTrue="1">
      <formula>K62&lt;&gt;0</formula>
    </cfRule>
  </conditionalFormatting>
  <conditionalFormatting sqref="D63">
    <cfRule type="expression" dxfId="3" priority="2114" stopIfTrue="1">
      <formula>K63&lt;&gt;0</formula>
    </cfRule>
  </conditionalFormatting>
  <conditionalFormatting sqref="K63">
    <cfRule type="cellIs" dxfId="2" priority="2115" stopIfTrue="1" operator="notEqual">
      <formula>0</formula>
    </cfRule>
  </conditionalFormatting>
  <conditionalFormatting sqref="L63">
    <cfRule type="expression" dxfId="1" priority="2116" stopIfTrue="1">
      <formula>K63&lt;&gt;0</formula>
    </cfRule>
  </conditionalFormatting>
  <conditionalFormatting sqref="M63">
    <cfRule type="expression" dxfId="0" priority="2117" stopIfTrue="1">
      <formula>K63&lt;&gt;0</formula>
    </cfRule>
  </conditionalFormatting>
  <dataValidations count="4">
    <dataValidation type="custom" showDropDown="1" showErrorMessage="1" errorTitle="6 Cell Link" error="The value in an option button cell link must be either &quot;TRUE&quot; or &quot;FALSE&quot;" sqref="C51 C9 C35">
      <formula1>ISLOGICAL(C9)</formula1>
    </dataValidation>
    <dataValidation type="list" showErrorMessage="1" errorTitle="Include Error Check" error="The include error check trigger must correspond with one of the options provided in the drop down list." sqref="L20:L28">
      <formula1>"Yes,No"</formula1>
    </dataValidation>
    <dataValidation type="list" showErrorMessage="1" errorTitle="Include Alert Check" error="The include alert check trigger must correspond with one of the options provided in the drop down list." sqref="L62">
      <formula1>"Yes,No"</formula1>
    </dataValidation>
    <dataValidation type="list" showErrorMessage="1" errorTitle="Include Alert Check" error="The include alert check trigger must correspond with one of the options provided in the drop down list." sqref="L63">
      <formula1>"Yes,No"</formula1>
    </dataValidation>
  </dataValidations>
  <hyperlinks>
    <hyperlink ref="D20:J20" location="HL_Err_Chk_1" tooltip="Go to Working Capital - Assumptions" display="HL_Err_Chk_1"/>
    <hyperlink ref="D21:J21" location="HL_Err_Chk_2" tooltip="Go to Accounts Receivable Balances ($Millions)" display="HL_Err_Chk_2"/>
    <hyperlink ref="D22:J22" location="HL_Err_Chk_3" tooltip="Go to Accounts Payable Balances ($Millions)" display="HL_Err_Chk_3"/>
    <hyperlink ref="D23:J23" location="HL_Err_Chk_4" tooltip="Go to Assets Balances ($Millions)" display="HL_Err_Chk_4"/>
    <hyperlink ref="D24:J24" location="HL_Err_Chk_5" tooltip="Go to Intangibles Balances ($Millions)" display="HL_Err_Chk_5"/>
    <hyperlink ref="D25:J25" location="HL_Err_Chk_15" tooltip="Go to Ordinary Equity - Outputs" display="HL_Err_Chk_15"/>
    <hyperlink ref="D26:J26" location="HL_Err_Chk_11" tooltip="Go to Income Statement" display="HL_Err_Chk_11"/>
    <hyperlink ref="D27:J27" location="HL_Err_Chk_13" tooltip="Go to Balance Sheet" display="HL_Err_Chk_13"/>
    <hyperlink ref="D28:J28" location="HL_Err_Chk_14" tooltip="Go to Cash Flow Statement" display="HL_Err_Chk_14"/>
    <hyperlink ref="D62:J62" location="HL_Alt_Chk_15" tooltip="Go to Ordinary Equity - Outputs" display="HL_Alt_Chk_15"/>
    <hyperlink ref="D63:J63" location="HL_Alt_Chk_14" tooltip="Go to Balance Sheet" display="HL_Alt_Chk_14"/>
    <hyperlink ref="B3" location="HL_Home" tooltip="Go to Table of Contents" display="HL_Home"/>
    <hyperlink ref="A4" location="$B$5" tooltip="Go to Top of Sheet" display="$B$5"/>
    <hyperlink ref="B4" location="HL_Sheet_Main_13" tooltip="Go to Previous Sheet" display="HL_Sheet_Main_13"/>
    <hyperlink ref="C4" location="HL_Sheet_Main_40" tooltip="Go to Next Sheet" display="HL_Sheet_Main_4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scale="90" orientation="landscape" r:id="rId1"/>
  <headerFooter>
    <oddFooter>&amp;L&amp;F
&amp;A
Printed: &amp;T on &amp;D&amp;CPage &amp;P of &amp;N&amp;R&amp;G</oddFooter>
  </headerFooter>
  <rowBreaks count="2" manualBreakCount="2">
    <brk id="32" min="1" max="12" man="1"/>
    <brk id="48" min="1" max="12" man="1"/>
  </rowBreaks>
  <legacyDrawing r:id="rId2"/>
  <legacyDrawingHF r:id="rId3"/>
</worksheet>
</file>

<file path=xl/worksheets/sheet26.xml><?xml version="1.0" encoding="utf-8"?>
<worksheet xmlns="http://schemas.openxmlformats.org/spreadsheetml/2006/main" xmlns:r="http://schemas.openxmlformats.org/officeDocument/2006/relationships">
  <sheetPr codeName="Sheet25">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191</v>
      </c>
    </row>
    <row r="10" spans="3:7" ht="16.5">
      <c r="C10" s="28" t="s">
        <v>532</v>
      </c>
    </row>
    <row r="11" spans="3:7" ht="15">
      <c r="C11" s="2" t="str">
        <f>Model_Name</f>
        <v>SMA 8. Calculation Formulae - Best Practice Model Example</v>
      </c>
    </row>
    <row r="12" spans="3:7">
      <c r="C12" s="245" t="s">
        <v>49</v>
      </c>
      <c r="D12" s="245"/>
      <c r="E12" s="245"/>
      <c r="F12" s="245"/>
      <c r="G12" s="245"/>
    </row>
    <row r="13" spans="3:7" ht="12.75">
      <c r="C13" s="12" t="s">
        <v>54</v>
      </c>
      <c r="D13" s="13" t="s">
        <v>103</v>
      </c>
    </row>
    <row r="17" spans="3:3">
      <c r="C17" s="26" t="s">
        <v>468</v>
      </c>
    </row>
    <row r="18" spans="3:3">
      <c r="C18" s="27" t="s">
        <v>395</v>
      </c>
    </row>
    <row r="19" spans="3:3">
      <c r="C19" s="27"/>
    </row>
    <row r="20" spans="3:3">
      <c r="C20" s="27"/>
    </row>
  </sheetData>
  <mergeCells count="1">
    <mergeCell ref="C12:G12"/>
  </mergeCells>
  <hyperlinks>
    <hyperlink ref="C12" location="HL_Home" tooltip="Go to Table of Contents" display="HL_Home"/>
    <hyperlink ref="C13" location="HL_Sheet_Main_14" tooltip="Go to Previous Sheet" display="HL_Sheet_Main_14"/>
    <hyperlink ref="D13" location="HL_Sheet_Main_9" tooltip="Go to Next Sheet" display="HL_Sheet_Main_9"/>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7.xml><?xml version="1.0" encoding="utf-8"?>
<worksheet xmlns="http://schemas.openxmlformats.org/spreadsheetml/2006/main" xmlns:r="http://schemas.openxmlformats.org/officeDocument/2006/relationships">
  <sheetPr codeName="Sheet26">
    <pageSetUpPr autoPageBreaks="0"/>
  </sheetPr>
  <dimension ref="A1:F105"/>
  <sheetViews>
    <sheetView showGridLines="0" zoomScaleNormal="100" workbookViewId="0">
      <pane xSplit="1" ySplit="4" topLeftCell="B5" activePane="bottomRight" state="frozen"/>
      <selection activeCell="Q57" sqref="Q57"/>
      <selection pane="topRight" activeCell="Q57" sqref="Q57"/>
      <selection pane="bottomLeft" activeCell="Q57" sqref="Q57"/>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333</v>
      </c>
    </row>
    <row r="2" spans="1:6" ht="15">
      <c r="B2" s="2" t="str">
        <f>Model_Name</f>
        <v>SMA 8. Calculation Formulae - Best Practice Model Example</v>
      </c>
    </row>
    <row r="3" spans="1:6">
      <c r="B3" s="245" t="s">
        <v>49</v>
      </c>
      <c r="C3" s="245"/>
      <c r="D3" s="245"/>
    </row>
    <row r="4" spans="1:6" ht="12.75">
      <c r="A4" s="11" t="s">
        <v>52</v>
      </c>
      <c r="B4" s="12" t="s">
        <v>54</v>
      </c>
      <c r="C4" s="13" t="s">
        <v>103</v>
      </c>
    </row>
    <row r="7" spans="1:6" ht="12.75">
      <c r="B7" s="33" t="s">
        <v>333</v>
      </c>
    </row>
    <row r="9" spans="1:6" ht="11.25">
      <c r="C9" s="34" t="s">
        <v>334</v>
      </c>
      <c r="F9" s="34" t="s">
        <v>332</v>
      </c>
    </row>
    <row r="11" spans="1:6">
      <c r="D11" s="38" t="s">
        <v>334</v>
      </c>
      <c r="F11" s="27" t="s">
        <v>335</v>
      </c>
    </row>
    <row r="12" spans="1:6">
      <c r="D12" s="40">
        <v>1</v>
      </c>
    </row>
    <row r="13" spans="1:6">
      <c r="D13" s="41">
        <f t="shared" ref="D13:D42" si="0">D12+1</f>
        <v>2</v>
      </c>
    </row>
    <row r="14" spans="1:6">
      <c r="D14" s="41">
        <f t="shared" si="0"/>
        <v>3</v>
      </c>
    </row>
    <row r="15" spans="1:6">
      <c r="D15" s="41">
        <f t="shared" si="0"/>
        <v>4</v>
      </c>
    </row>
    <row r="16" spans="1:6">
      <c r="D16" s="41">
        <f t="shared" si="0"/>
        <v>5</v>
      </c>
    </row>
    <row r="17" spans="4:4">
      <c r="D17" s="41">
        <f t="shared" si="0"/>
        <v>6</v>
      </c>
    </row>
    <row r="18" spans="4:4">
      <c r="D18" s="41">
        <f t="shared" si="0"/>
        <v>7</v>
      </c>
    </row>
    <row r="19" spans="4:4">
      <c r="D19" s="41">
        <f t="shared" si="0"/>
        <v>8</v>
      </c>
    </row>
    <row r="20" spans="4:4">
      <c r="D20" s="41">
        <f t="shared" si="0"/>
        <v>9</v>
      </c>
    </row>
    <row r="21" spans="4:4">
      <c r="D21" s="41">
        <f t="shared" si="0"/>
        <v>10</v>
      </c>
    </row>
    <row r="22" spans="4:4">
      <c r="D22" s="41">
        <f t="shared" si="0"/>
        <v>11</v>
      </c>
    </row>
    <row r="23" spans="4:4">
      <c r="D23" s="41">
        <f t="shared" si="0"/>
        <v>12</v>
      </c>
    </row>
    <row r="24" spans="4:4">
      <c r="D24" s="41">
        <f t="shared" si="0"/>
        <v>13</v>
      </c>
    </row>
    <row r="25" spans="4:4">
      <c r="D25" s="41">
        <f t="shared" si="0"/>
        <v>14</v>
      </c>
    </row>
    <row r="26" spans="4:4">
      <c r="D26" s="41">
        <f t="shared" si="0"/>
        <v>15</v>
      </c>
    </row>
    <row r="27" spans="4:4">
      <c r="D27" s="41">
        <f t="shared" si="0"/>
        <v>16</v>
      </c>
    </row>
    <row r="28" spans="4:4">
      <c r="D28" s="41">
        <f t="shared" si="0"/>
        <v>17</v>
      </c>
    </row>
    <row r="29" spans="4:4">
      <c r="D29" s="41">
        <f t="shared" si="0"/>
        <v>18</v>
      </c>
    </row>
    <row r="30" spans="4:4">
      <c r="D30" s="41">
        <f t="shared" si="0"/>
        <v>19</v>
      </c>
    </row>
    <row r="31" spans="4:4">
      <c r="D31" s="41">
        <f t="shared" si="0"/>
        <v>20</v>
      </c>
    </row>
    <row r="32" spans="4:4">
      <c r="D32" s="41">
        <f t="shared" si="0"/>
        <v>21</v>
      </c>
    </row>
    <row r="33" spans="3:6">
      <c r="D33" s="41">
        <f t="shared" si="0"/>
        <v>22</v>
      </c>
    </row>
    <row r="34" spans="3:6">
      <c r="D34" s="41">
        <f t="shared" si="0"/>
        <v>23</v>
      </c>
    </row>
    <row r="35" spans="3:6">
      <c r="D35" s="41">
        <f t="shared" si="0"/>
        <v>24</v>
      </c>
    </row>
    <row r="36" spans="3:6">
      <c r="D36" s="41">
        <f t="shared" si="0"/>
        <v>25</v>
      </c>
    </row>
    <row r="37" spans="3:6">
      <c r="D37" s="41">
        <f t="shared" si="0"/>
        <v>26</v>
      </c>
    </row>
    <row r="38" spans="3:6">
      <c r="D38" s="41">
        <f t="shared" si="0"/>
        <v>27</v>
      </c>
    </row>
    <row r="39" spans="3:6">
      <c r="D39" s="41">
        <f t="shared" si="0"/>
        <v>28</v>
      </c>
    </row>
    <row r="40" spans="3:6">
      <c r="D40" s="41">
        <f t="shared" si="0"/>
        <v>29</v>
      </c>
    </row>
    <row r="41" spans="3:6">
      <c r="D41" s="41">
        <f t="shared" si="0"/>
        <v>30</v>
      </c>
    </row>
    <row r="42" spans="3:6">
      <c r="D42" s="41">
        <f t="shared" si="0"/>
        <v>31</v>
      </c>
    </row>
    <row r="44" spans="3:6" ht="11.25">
      <c r="C44" s="34" t="s">
        <v>336</v>
      </c>
      <c r="F44" s="34" t="s">
        <v>332</v>
      </c>
    </row>
    <row r="46" spans="3:6">
      <c r="D46" s="38" t="s">
        <v>336</v>
      </c>
      <c r="F46" s="27" t="s">
        <v>337</v>
      </c>
    </row>
    <row r="47" spans="3:6">
      <c r="D47" s="39" t="s">
        <v>57</v>
      </c>
    </row>
    <row r="48" spans="3:6">
      <c r="D48" s="39" t="s">
        <v>58</v>
      </c>
    </row>
    <row r="49" spans="3:6">
      <c r="D49" s="39" t="s">
        <v>59</v>
      </c>
    </row>
    <row r="50" spans="3:6">
      <c r="D50" s="39" t="s">
        <v>60</v>
      </c>
    </row>
    <row r="51" spans="3:6">
      <c r="D51" s="39" t="s">
        <v>61</v>
      </c>
    </row>
    <row r="52" spans="3:6">
      <c r="D52" s="39" t="s">
        <v>62</v>
      </c>
    </row>
    <row r="53" spans="3:6">
      <c r="D53" s="39" t="s">
        <v>63</v>
      </c>
    </row>
    <row r="54" spans="3:6">
      <c r="D54" s="39" t="s">
        <v>64</v>
      </c>
    </row>
    <row r="55" spans="3:6">
      <c r="D55" s="39" t="s">
        <v>65</v>
      </c>
    </row>
    <row r="56" spans="3:6">
      <c r="D56" s="39" t="s">
        <v>66</v>
      </c>
    </row>
    <row r="57" spans="3:6">
      <c r="D57" s="39" t="s">
        <v>67</v>
      </c>
    </row>
    <row r="58" spans="3:6">
      <c r="D58" s="39" t="s">
        <v>68</v>
      </c>
    </row>
    <row r="60" spans="3:6" ht="11.25">
      <c r="C60" s="34" t="s">
        <v>88</v>
      </c>
      <c r="F60" s="34" t="s">
        <v>332</v>
      </c>
    </row>
    <row r="62" spans="3:6">
      <c r="D62" s="38" t="s">
        <v>88</v>
      </c>
      <c r="F62" s="27" t="s">
        <v>89</v>
      </c>
    </row>
    <row r="63" spans="3:6">
      <c r="D63" s="39" t="s">
        <v>90</v>
      </c>
      <c r="F63" s="27" t="s">
        <v>91</v>
      </c>
    </row>
    <row r="64" spans="3:6">
      <c r="D64" s="39" t="s">
        <v>92</v>
      </c>
      <c r="F64" s="27" t="s">
        <v>93</v>
      </c>
    </row>
    <row r="65" spans="3:6">
      <c r="D65" s="39" t="s">
        <v>94</v>
      </c>
      <c r="F65" s="27" t="s">
        <v>95</v>
      </c>
    </row>
    <row r="66" spans="3:6">
      <c r="D66" s="39" t="s">
        <v>96</v>
      </c>
      <c r="F66" s="27" t="s">
        <v>97</v>
      </c>
    </row>
    <row r="68" spans="3:6" ht="11.25">
      <c r="C68" s="34" t="s">
        <v>338</v>
      </c>
      <c r="F68" s="34" t="s">
        <v>332</v>
      </c>
    </row>
    <row r="70" spans="3:6">
      <c r="D70" s="38" t="s">
        <v>338</v>
      </c>
      <c r="F70" s="27" t="s">
        <v>339</v>
      </c>
    </row>
    <row r="71" spans="3:6">
      <c r="D71" s="39" t="s">
        <v>340</v>
      </c>
    </row>
    <row r="72" spans="3:6">
      <c r="D72" s="39" t="s">
        <v>341</v>
      </c>
    </row>
    <row r="74" spans="3:6" ht="11.25">
      <c r="C74" s="34" t="s">
        <v>342</v>
      </c>
      <c r="F74" s="34" t="s">
        <v>332</v>
      </c>
    </row>
    <row r="76" spans="3:6">
      <c r="D76" s="38" t="s">
        <v>342</v>
      </c>
      <c r="F76" s="27" t="s">
        <v>343</v>
      </c>
    </row>
    <row r="77" spans="3:6">
      <c r="D77" s="39" t="s">
        <v>71</v>
      </c>
      <c r="F77" s="27" t="s">
        <v>71</v>
      </c>
    </row>
    <row r="78" spans="3:6">
      <c r="D78" s="39" t="s">
        <v>72</v>
      </c>
      <c r="F78" s="27" t="s">
        <v>344</v>
      </c>
    </row>
    <row r="79" spans="3:6">
      <c r="D79" s="39" t="s">
        <v>73</v>
      </c>
      <c r="F79" s="27" t="s">
        <v>74</v>
      </c>
    </row>
    <row r="80" spans="3:6">
      <c r="D80" s="39" t="s">
        <v>75</v>
      </c>
      <c r="F80" s="27" t="s">
        <v>76</v>
      </c>
    </row>
    <row r="82" spans="3:6" ht="11.25">
      <c r="C82" s="34" t="s">
        <v>345</v>
      </c>
      <c r="F82" s="34" t="s">
        <v>332</v>
      </c>
    </row>
    <row r="84" spans="3:6">
      <c r="D84" s="38" t="s">
        <v>345</v>
      </c>
      <c r="F84" s="27" t="s">
        <v>346</v>
      </c>
    </row>
    <row r="85" spans="3:6">
      <c r="D85" s="39" t="s">
        <v>77</v>
      </c>
      <c r="F85" s="27" t="s">
        <v>78</v>
      </c>
    </row>
    <row r="86" spans="3:6">
      <c r="D86" s="39" t="s">
        <v>70</v>
      </c>
      <c r="F86" s="27" t="s">
        <v>79</v>
      </c>
    </row>
    <row r="87" spans="3:6">
      <c r="D87" s="39" t="s">
        <v>69</v>
      </c>
      <c r="F87" s="27" t="s">
        <v>80</v>
      </c>
    </row>
    <row r="88" spans="3:6">
      <c r="D88" s="39" t="s">
        <v>56</v>
      </c>
      <c r="F88" s="27" t="s">
        <v>81</v>
      </c>
    </row>
    <row r="90" spans="3:6" ht="11.25">
      <c r="C90" s="34" t="s">
        <v>347</v>
      </c>
      <c r="F90" s="34" t="s">
        <v>332</v>
      </c>
    </row>
    <row r="92" spans="3:6">
      <c r="D92" s="38" t="s">
        <v>347</v>
      </c>
      <c r="F92" s="27" t="s">
        <v>82</v>
      </c>
    </row>
    <row r="93" spans="3:6">
      <c r="D93" s="40">
        <v>1</v>
      </c>
      <c r="F93" s="27" t="s">
        <v>83</v>
      </c>
    </row>
    <row r="94" spans="3:6">
      <c r="D94" s="40">
        <v>2</v>
      </c>
      <c r="F94" s="27" t="s">
        <v>84</v>
      </c>
    </row>
    <row r="95" spans="3:6">
      <c r="D95" s="40">
        <v>4</v>
      </c>
      <c r="F95" s="27" t="s">
        <v>85</v>
      </c>
    </row>
    <row r="96" spans="3:6">
      <c r="D96" s="40">
        <v>12</v>
      </c>
      <c r="F96" s="27" t="s">
        <v>86</v>
      </c>
    </row>
    <row r="98" spans="3:6" ht="11.25">
      <c r="C98" s="34" t="s">
        <v>348</v>
      </c>
      <c r="F98" s="34" t="s">
        <v>332</v>
      </c>
    </row>
    <row r="100" spans="3:6">
      <c r="D100" s="38" t="s">
        <v>348</v>
      </c>
    </row>
    <row r="101" spans="3:6">
      <c r="D101" s="40">
        <v>10</v>
      </c>
      <c r="F101" s="27" t="s">
        <v>98</v>
      </c>
    </row>
    <row r="102" spans="3:6">
      <c r="D102" s="40">
        <v>100</v>
      </c>
      <c r="F102" s="27" t="s">
        <v>99</v>
      </c>
    </row>
    <row r="103" spans="3:6">
      <c r="D103" s="40">
        <v>1000</v>
      </c>
      <c r="F103" s="27" t="s">
        <v>100</v>
      </c>
    </row>
    <row r="104" spans="3:6">
      <c r="D104" s="40">
        <v>1000000</v>
      </c>
      <c r="F104" s="27" t="s">
        <v>101</v>
      </c>
    </row>
    <row r="105" spans="3:6">
      <c r="D105" s="40">
        <v>1000000000</v>
      </c>
      <c r="F105" s="27" t="s">
        <v>102</v>
      </c>
    </row>
  </sheetData>
  <mergeCells count="1">
    <mergeCell ref="B3:D3"/>
  </mergeCells>
  <hyperlinks>
    <hyperlink ref="B3" location="HL_Home" tooltip="Go to Table of Contents" display="HL_Home"/>
    <hyperlink ref="A4" location="$B$5" tooltip="Go to Top of Sheet" display="$B$5"/>
    <hyperlink ref="B4" location="HL_Sheet_Main_40" tooltip="Go to Previous Sheet" display="HL_Sheet_Main_40"/>
    <hyperlink ref="C4" location="HL_Sheet_Main_42" tooltip="Go to Next Sheet" display="HL_Sheet_Main_42"/>
  </hyperlinks>
  <pageMargins left="0.39370078740157483" right="0.39370078740157483" top="0.59055118110236227" bottom="0.98425196850393704" header="0" footer="0.31496062992125984"/>
  <pageSetup paperSize="9" orientation="landscape" r:id="rId1"/>
  <headerFooter>
    <oddFooter>&amp;L&amp;F
&amp;A
Printed: &amp;T on &amp;D&amp;CPage &amp;P of &amp;N&amp;R&amp;G</oddFooter>
  </headerFooter>
  <rowBreaks count="2" manualBreakCount="2">
    <brk id="43" min="1" max="6" man="1"/>
    <brk id="73" min="1" max="6" man="1"/>
  </rowBreaks>
  <legacyDrawingHF r:id="rId2"/>
</worksheet>
</file>

<file path=xl/worksheets/sheet28.xml><?xml version="1.0" encoding="utf-8"?>
<worksheet xmlns="http://schemas.openxmlformats.org/spreadsheetml/2006/main" xmlns:r="http://schemas.openxmlformats.org/officeDocument/2006/relationships">
  <sheetPr codeName="Sheet27">
    <pageSetUpPr autoPageBreaks="0"/>
  </sheetPr>
  <dimension ref="A1:F13"/>
  <sheetViews>
    <sheetView showGridLines="0" zoomScaleNormal="100" workbookViewId="0">
      <pane xSplit="1" ySplit="4" topLeftCell="B5" activePane="bottomRight" state="frozen"/>
      <selection activeCell="Q57" sqref="Q57"/>
      <selection pane="topRight" activeCell="Q57" sqref="Q57"/>
      <selection pane="bottomLeft" activeCell="Q57" sqref="Q57"/>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396</v>
      </c>
    </row>
    <row r="2" spans="1:6" ht="15">
      <c r="B2" s="2" t="str">
        <f>Model_Name</f>
        <v>SMA 8. Calculation Formulae - Best Practice Model Example</v>
      </c>
    </row>
    <row r="3" spans="1:6">
      <c r="B3" s="245" t="s">
        <v>49</v>
      </c>
      <c r="C3" s="245"/>
      <c r="D3" s="245"/>
    </row>
    <row r="4" spans="1:6" ht="12.75">
      <c r="A4" s="11" t="s">
        <v>52</v>
      </c>
      <c r="B4" s="12" t="s">
        <v>54</v>
      </c>
      <c r="C4" s="13" t="s">
        <v>103</v>
      </c>
    </row>
    <row r="7" spans="1:6" s="16" customFormat="1" ht="12.75">
      <c r="B7" s="105" t="str">
        <f>B1</f>
        <v>Capital - Lookup Tables</v>
      </c>
    </row>
    <row r="8" spans="1:6" s="16" customFormat="1"/>
    <row r="9" spans="1:6" s="16" customFormat="1" ht="11.25">
      <c r="C9" s="99" t="s">
        <v>262</v>
      </c>
      <c r="F9" s="99" t="s">
        <v>55</v>
      </c>
    </row>
    <row r="10" spans="1:6" s="16" customFormat="1"/>
    <row r="11" spans="1:6" s="16" customFormat="1">
      <c r="D11" s="109" t="s">
        <v>263</v>
      </c>
      <c r="F11" s="6" t="s">
        <v>264</v>
      </c>
    </row>
    <row r="12" spans="1:6" s="16" customFormat="1">
      <c r="D12" s="110" t="s">
        <v>265</v>
      </c>
    </row>
    <row r="13" spans="1:6" s="16" customFormat="1">
      <c r="D13" s="110" t="s">
        <v>266</v>
      </c>
    </row>
  </sheetData>
  <mergeCells count="1">
    <mergeCell ref="B3:D3"/>
  </mergeCells>
  <hyperlinks>
    <hyperlink ref="B3" location="HL_Home" tooltip="Go to Table of Contents" display="HL_Home"/>
    <hyperlink ref="A4" location="$B$5" tooltip="Go to Top of Sheet" display="$B$5"/>
    <hyperlink ref="B4" location="HL_Sheet_Main_9" tooltip="Go to Previous Sheet" display="HL_Sheet_Main_9"/>
    <hyperlink ref="C4" location="HL_Sheet_Main_27" tooltip="Go to Next Sheet" display="HL_Sheet_Main_27"/>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9.xml><?xml version="1.0" encoding="utf-8"?>
<worksheet xmlns="http://schemas.openxmlformats.org/spreadsheetml/2006/main" xmlns:r="http://schemas.openxmlformats.org/officeDocument/2006/relationships">
  <sheetPr codeName="Sheet28">
    <pageSetUpPr autoPageBreaks="0"/>
  </sheetPr>
  <dimension ref="A1:F19"/>
  <sheetViews>
    <sheetView showGridLines="0" zoomScaleNormal="100" workbookViewId="0">
      <pane xSplit="1" ySplit="4" topLeftCell="B5" activePane="bottomRight" state="frozen"/>
      <selection activeCell="Q57" sqref="Q57"/>
      <selection pane="topRight" activeCell="Q57" sqref="Q57"/>
      <selection pane="bottomLeft" activeCell="Q57" sqref="Q57"/>
      <selection pane="bottomRight"/>
    </sheetView>
  </sheetViews>
  <sheetFormatPr defaultColWidth="11.83203125" defaultRowHeight="10.5"/>
  <cols>
    <col min="1" max="3" width="3.83203125" customWidth="1"/>
    <col min="4" max="4" width="35.83203125" customWidth="1"/>
    <col min="5" max="5" width="3.83203125" customWidth="1"/>
    <col min="6" max="6" width="35.83203125" customWidth="1"/>
    <col min="7" max="7" width="3.83203125" customWidth="1"/>
  </cols>
  <sheetData>
    <row r="1" spans="1:6" ht="18">
      <c r="B1" s="1" t="s">
        <v>447</v>
      </c>
    </row>
    <row r="2" spans="1:6" ht="15">
      <c r="B2" s="2" t="str">
        <f>Model_Name</f>
        <v>SMA 8. Calculation Formulae - Best Practice Model Example</v>
      </c>
    </row>
    <row r="3" spans="1:6">
      <c r="B3" s="245" t="s">
        <v>49</v>
      </c>
      <c r="C3" s="245"/>
      <c r="D3" s="245"/>
    </row>
    <row r="4" spans="1:6" ht="12.75">
      <c r="A4" s="11" t="s">
        <v>52</v>
      </c>
      <c r="B4" s="12" t="s">
        <v>54</v>
      </c>
    </row>
    <row r="7" spans="1:6" ht="12.75">
      <c r="B7" s="33" t="s">
        <v>450</v>
      </c>
    </row>
    <row r="9" spans="1:6" ht="11.25">
      <c r="C9" s="34" t="s">
        <v>449</v>
      </c>
      <c r="F9" s="34" t="s">
        <v>332</v>
      </c>
    </row>
    <row r="11" spans="1:6">
      <c r="D11" s="38" t="s">
        <v>448</v>
      </c>
      <c r="F11" s="119" t="s">
        <v>451</v>
      </c>
    </row>
    <row r="12" spans="1:6">
      <c r="D12" s="166" t="str">
        <f>IF(TS_Periodicity=Annual,Fcast_TA!J$7,Fcast_TA!J$6)</f>
        <v xml:space="preserve">2010 (F) </v>
      </c>
      <c r="F12" s="119"/>
    </row>
    <row r="13" spans="1:6">
      <c r="D13" s="166" t="str">
        <f>IF(TS_Periodicity=Annual,Fcast_TA!K$7,Fcast_TA!K$6)</f>
        <v xml:space="preserve">2011 (F) </v>
      </c>
      <c r="F13" s="119"/>
    </row>
    <row r="14" spans="1:6">
      <c r="D14" s="166" t="str">
        <f>IF(TS_Periodicity=Annual,Fcast_TA!L$7,Fcast_TA!L$6)</f>
        <v xml:space="preserve">2012 (F) </v>
      </c>
      <c r="F14" s="119"/>
    </row>
    <row r="15" spans="1:6">
      <c r="D15" s="166" t="str">
        <f>IF(TS_Periodicity=Annual,Fcast_TA!M$7,Fcast_TA!M$6)</f>
        <v xml:space="preserve">2013 (F) </v>
      </c>
      <c r="F15" s="119"/>
    </row>
    <row r="16" spans="1:6">
      <c r="D16" s="166" t="str">
        <f>IF(TS_Periodicity=Annual,Fcast_TA!N$7,Fcast_TA!N$6)</f>
        <v xml:space="preserve">2014 (F) </v>
      </c>
      <c r="F16" s="119"/>
    </row>
    <row r="17" spans="4:6">
      <c r="D17" s="166" t="str">
        <f>IF(TS_Periodicity=Annual,Fcast_TA!O$7,Fcast_TA!O$6)</f>
        <v xml:space="preserve">2015 (F) </v>
      </c>
      <c r="F17" s="119"/>
    </row>
    <row r="18" spans="4:6">
      <c r="D18" s="166" t="str">
        <f>IF(TS_Periodicity=Annual,Fcast_TA!P$7,Fcast_TA!P$6)</f>
        <v xml:space="preserve">2016 (F) </v>
      </c>
      <c r="F18" s="119"/>
    </row>
    <row r="19" spans="4:6">
      <c r="D19" s="166" t="str">
        <f>IF(TS_Periodicity=Annual,Fcast_TA!Q$7,Fcast_TA!Q$6)</f>
        <v xml:space="preserve">2017 (F) </v>
      </c>
      <c r="F19" s="119"/>
    </row>
  </sheetData>
  <mergeCells count="1">
    <mergeCell ref="B3:D3"/>
  </mergeCells>
  <hyperlinks>
    <hyperlink ref="B3" location="HL_Home" tooltip="Go to Table of Contents" display="HL_Home"/>
    <hyperlink ref="A4" location="$B$5" tooltip="Go to Top of Sheet" display="$B$5"/>
    <hyperlink ref="B4" location="HL_Sheet_Main_42" tooltip="Go to Previous Sheet" display="HL_Sheet_Main_42"/>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3.xml><?xml version="1.0" encoding="utf-8"?>
<worksheet xmlns="http://schemas.openxmlformats.org/spreadsheetml/2006/main" xmlns:r="http://schemas.openxmlformats.org/officeDocument/2006/relationships">
  <sheetPr codeName="Sheet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297</v>
      </c>
    </row>
    <row r="10" spans="3:7" ht="16.5">
      <c r="C10" s="28" t="s">
        <v>192</v>
      </c>
    </row>
    <row r="11" spans="3:7" ht="15">
      <c r="C11" s="2" t="str">
        <f>Model_Name</f>
        <v>SMA 8. Calculation Formulae - Best Practice Model Example</v>
      </c>
    </row>
    <row r="12" spans="3:7">
      <c r="C12" s="245" t="s">
        <v>49</v>
      </c>
      <c r="D12" s="245"/>
      <c r="E12" s="245"/>
      <c r="F12" s="245"/>
      <c r="G12" s="245"/>
    </row>
    <row r="13" spans="3:7" ht="12.75">
      <c r="C13" s="12" t="s">
        <v>54</v>
      </c>
      <c r="D13" s="13" t="s">
        <v>103</v>
      </c>
    </row>
    <row r="17" spans="3:3">
      <c r="C17" s="26" t="s">
        <v>467</v>
      </c>
    </row>
    <row r="18" spans="3:3">
      <c r="C18" s="27" t="s">
        <v>289</v>
      </c>
    </row>
    <row r="19" spans="3:3">
      <c r="C19" s="27" t="s">
        <v>290</v>
      </c>
    </row>
    <row r="20" spans="3:3">
      <c r="C20" s="27" t="s">
        <v>298</v>
      </c>
    </row>
  </sheetData>
  <mergeCells count="1">
    <mergeCell ref="C12:G12"/>
  </mergeCells>
  <hyperlinks>
    <hyperlink ref="C12" location="HL_Home" tooltip="Go to Table of Contents" display="HL_Home"/>
    <hyperlink ref="C13" location="HL_Sheet_Main_24" tooltip="Go to Previous Sheet" display="HL_Sheet_Main_24"/>
    <hyperlink ref="D13" location="HL_Sheet_Main_3" tooltip="Go to Next Sheet" display="HL_Sheet_Main_3"/>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4.xml><?xml version="1.0" encoding="utf-8"?>
<worksheet xmlns="http://schemas.openxmlformats.org/spreadsheetml/2006/main" xmlns:r="http://schemas.openxmlformats.org/officeDocument/2006/relationships">
  <sheetPr codeName="Sheet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204</v>
      </c>
    </row>
    <row r="10" spans="3:7" ht="16.5">
      <c r="C10" s="28" t="s">
        <v>193</v>
      </c>
    </row>
    <row r="11" spans="3:7" ht="15">
      <c r="C11" s="2" t="str">
        <f>Model_Name</f>
        <v>SMA 8. Calculation Formulae - Best Practice Model Example</v>
      </c>
    </row>
    <row r="12" spans="3:7">
      <c r="C12" s="245" t="s">
        <v>49</v>
      </c>
      <c r="D12" s="245"/>
      <c r="E12" s="245"/>
      <c r="F12" s="245"/>
      <c r="G12" s="245"/>
    </row>
    <row r="13" spans="3:7" ht="12.75">
      <c r="C13" s="12" t="s">
        <v>54</v>
      </c>
      <c r="D13" s="13" t="s">
        <v>103</v>
      </c>
    </row>
    <row r="17" spans="3:3">
      <c r="C17" s="26" t="s">
        <v>468</v>
      </c>
    </row>
    <row r="18" spans="3:3">
      <c r="C18" s="27" t="s">
        <v>205</v>
      </c>
    </row>
    <row r="19" spans="3:3">
      <c r="C19" s="27" t="s">
        <v>299</v>
      </c>
    </row>
    <row r="20" spans="3:3">
      <c r="C20" s="27"/>
    </row>
  </sheetData>
  <mergeCells count="1">
    <mergeCell ref="C12:G12"/>
  </mergeCells>
  <hyperlinks>
    <hyperlink ref="C12" location="HL_Home" tooltip="Go to Table of Contents" display="HL_Home"/>
    <hyperlink ref="C13" location="HL_Sheet_Main_2" tooltip="Go to Previous Sheet" display="HL_Sheet_Main_2"/>
    <hyperlink ref="D13" location="HL_Sheet_Main" tooltip="Go to Next Sheet" display="HL_Sheet_Main"/>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5.xml><?xml version="1.0" encoding="utf-8"?>
<worksheet xmlns="http://schemas.openxmlformats.org/spreadsheetml/2006/main" xmlns:r="http://schemas.openxmlformats.org/officeDocument/2006/relationships">
  <sheetPr codeName="Sheet5">
    <pageSetUpPr autoPageBreaks="0" fitToPage="1"/>
  </sheetPr>
  <dimension ref="A1:M44"/>
  <sheetViews>
    <sheetView showGridLines="0" zoomScaleNormal="100" zoomScaleSheetLayoutView="70" workbookViewId="0">
      <pane xSplit="1" ySplit="4" topLeftCell="B5" activePane="bottomRight" state="frozen"/>
      <selection activeCell="Q57" sqref="Q57"/>
      <selection pane="topRight" activeCell="Q57" sqref="Q57"/>
      <selection pane="bottomLeft" activeCell="Q57" sqref="Q57"/>
      <selection pane="bottomRight"/>
    </sheetView>
  </sheetViews>
  <sheetFormatPr defaultRowHeight="10.5"/>
  <cols>
    <col min="1" max="5" width="3.83203125" customWidth="1"/>
    <col min="6" max="251" width="11.83203125" customWidth="1"/>
  </cols>
  <sheetData>
    <row r="1" spans="1:13" ht="18">
      <c r="B1" s="1" t="s">
        <v>407</v>
      </c>
    </row>
    <row r="2" spans="1:13" ht="15">
      <c r="B2" s="2" t="str">
        <f>Model_Name</f>
        <v>SMA 8. Calculation Formulae - Best Practice Model Example</v>
      </c>
    </row>
    <row r="3" spans="1:13">
      <c r="B3" s="245" t="s">
        <v>49</v>
      </c>
      <c r="C3" s="245"/>
      <c r="D3" s="245"/>
      <c r="E3" s="245"/>
      <c r="F3" s="245"/>
    </row>
    <row r="4" spans="1:13" ht="12.75">
      <c r="A4" s="11" t="s">
        <v>52</v>
      </c>
      <c r="B4" s="12" t="s">
        <v>54</v>
      </c>
      <c r="C4" s="13" t="s">
        <v>103</v>
      </c>
      <c r="D4" s="238" t="s">
        <v>206</v>
      </c>
      <c r="E4" s="238" t="s">
        <v>207</v>
      </c>
      <c r="F4" s="14" t="s">
        <v>208</v>
      </c>
    </row>
    <row r="7" spans="1:13" s="16" customFormat="1" ht="12.75">
      <c r="C7" s="8" t="s">
        <v>209</v>
      </c>
      <c r="D7" s="18"/>
      <c r="E7" s="18"/>
      <c r="F7" s="18"/>
      <c r="G7" s="8" t="s">
        <v>204</v>
      </c>
      <c r="H7" s="18"/>
      <c r="I7" s="18"/>
      <c r="J7" s="18"/>
      <c r="K7" s="18"/>
      <c r="L7" s="18"/>
      <c r="M7" s="18"/>
    </row>
    <row r="8" spans="1:13" s="16" customFormat="1" ht="5.0999999999999996" customHeight="1"/>
    <row r="9" spans="1:13" s="16" customFormat="1" ht="11.25" customHeight="1">
      <c r="C9" s="255" t="s">
        <v>210</v>
      </c>
      <c r="D9" s="255"/>
      <c r="E9" s="255"/>
      <c r="F9" s="255"/>
      <c r="G9" s="260" t="s">
        <v>572</v>
      </c>
      <c r="H9" s="260"/>
      <c r="I9" s="260"/>
      <c r="J9" s="260"/>
      <c r="K9" s="260"/>
      <c r="L9" s="260"/>
      <c r="M9" s="260"/>
    </row>
    <row r="10" spans="1:13" s="16" customFormat="1" ht="11.25" customHeight="1">
      <c r="C10" s="255"/>
      <c r="D10" s="255"/>
      <c r="E10" s="255"/>
      <c r="F10" s="255"/>
      <c r="G10" s="260"/>
      <c r="H10" s="260"/>
      <c r="I10" s="260"/>
      <c r="J10" s="260"/>
      <c r="K10" s="260"/>
      <c r="L10" s="260"/>
      <c r="M10" s="260"/>
    </row>
    <row r="11" spans="1:13" s="16" customFormat="1">
      <c r="C11" s="254"/>
      <c r="D11" s="254"/>
      <c r="E11" s="254"/>
      <c r="F11" s="254"/>
      <c r="G11" s="260"/>
      <c r="H11" s="260"/>
      <c r="I11" s="260"/>
      <c r="J11" s="260"/>
      <c r="K11" s="260"/>
      <c r="L11" s="260"/>
      <c r="M11" s="260"/>
    </row>
    <row r="12" spans="1:13" s="16" customFormat="1" ht="5.0999999999999996" customHeight="1">
      <c r="C12" s="254"/>
      <c r="D12" s="254"/>
      <c r="E12" s="254"/>
      <c r="F12" s="254"/>
      <c r="G12" s="193"/>
      <c r="H12" s="193"/>
      <c r="I12" s="193"/>
      <c r="J12" s="193"/>
      <c r="K12" s="193"/>
      <c r="L12" s="193"/>
      <c r="M12" s="193"/>
    </row>
    <row r="13" spans="1:13" s="16" customFormat="1" ht="11.25" customHeight="1">
      <c r="C13" s="255" t="s">
        <v>211</v>
      </c>
      <c r="D13" s="255"/>
      <c r="E13" s="255"/>
      <c r="F13" s="255"/>
      <c r="G13" s="260" t="s">
        <v>212</v>
      </c>
      <c r="H13" s="260"/>
      <c r="I13" s="260"/>
      <c r="J13" s="260"/>
      <c r="K13" s="260"/>
      <c r="L13" s="260"/>
      <c r="M13" s="260"/>
    </row>
    <row r="14" spans="1:13" s="16" customFormat="1" ht="5.0999999999999996" customHeight="1">
      <c r="C14" s="254"/>
      <c r="D14" s="254"/>
      <c r="E14" s="254"/>
      <c r="F14" s="254"/>
      <c r="G14" s="194"/>
      <c r="H14" s="194"/>
      <c r="I14" s="194"/>
      <c r="J14" s="194"/>
      <c r="K14" s="194"/>
      <c r="L14" s="194"/>
      <c r="M14" s="194"/>
    </row>
    <row r="15" spans="1:13" s="16" customFormat="1">
      <c r="C15" s="254"/>
      <c r="D15" s="254"/>
      <c r="E15" s="254"/>
      <c r="F15" s="254"/>
      <c r="G15" s="261" t="s">
        <v>573</v>
      </c>
      <c r="H15" s="261"/>
      <c r="I15" s="261"/>
      <c r="J15" s="261"/>
      <c r="K15" s="261"/>
      <c r="L15" s="261"/>
      <c r="M15" s="261"/>
    </row>
    <row r="16" spans="1:13" s="16" customFormat="1">
      <c r="C16" s="254"/>
      <c r="D16" s="254"/>
      <c r="E16" s="254"/>
      <c r="F16" s="254"/>
      <c r="G16" s="261" t="s">
        <v>535</v>
      </c>
      <c r="H16" s="261"/>
      <c r="I16" s="261"/>
      <c r="J16" s="261"/>
      <c r="K16" s="261"/>
      <c r="L16" s="261"/>
      <c r="M16" s="261"/>
    </row>
    <row r="17" spans="3:13" s="16" customFormat="1">
      <c r="C17" s="254"/>
      <c r="D17" s="254"/>
      <c r="E17" s="254"/>
      <c r="F17" s="254"/>
      <c r="G17" s="261" t="s">
        <v>536</v>
      </c>
      <c r="H17" s="261"/>
      <c r="I17" s="261"/>
      <c r="J17" s="261"/>
      <c r="K17" s="261"/>
      <c r="L17" s="261"/>
      <c r="M17" s="261"/>
    </row>
    <row r="18" spans="3:13" s="16" customFormat="1" ht="5.0999999999999996" customHeight="1">
      <c r="C18" s="254"/>
      <c r="D18" s="254"/>
      <c r="E18" s="254"/>
      <c r="F18" s="254"/>
      <c r="G18" s="193"/>
      <c r="H18" s="193"/>
      <c r="I18" s="193"/>
      <c r="J18" s="193"/>
      <c r="K18" s="193"/>
      <c r="L18" s="193"/>
      <c r="M18" s="193"/>
    </row>
    <row r="19" spans="3:13" s="16" customFormat="1" ht="11.25" customHeight="1">
      <c r="C19" s="255" t="s">
        <v>213</v>
      </c>
      <c r="D19" s="255"/>
      <c r="E19" s="255"/>
      <c r="F19" s="255"/>
      <c r="G19" s="260" t="s">
        <v>534</v>
      </c>
      <c r="H19" s="260"/>
      <c r="I19" s="260"/>
      <c r="J19" s="260"/>
      <c r="K19" s="260"/>
      <c r="L19" s="260"/>
      <c r="M19" s="260"/>
    </row>
    <row r="20" spans="3:13" s="16" customFormat="1" ht="5.0999999999999996" customHeight="1">
      <c r="C20" s="254"/>
      <c r="D20" s="254"/>
      <c r="E20" s="254"/>
      <c r="F20" s="254"/>
      <c r="G20" s="193"/>
      <c r="H20" s="193"/>
      <c r="I20" s="193"/>
      <c r="J20" s="193"/>
      <c r="K20" s="193"/>
      <c r="L20" s="193"/>
      <c r="M20" s="193"/>
    </row>
    <row r="21" spans="3:13" s="16" customFormat="1" ht="11.25" customHeight="1">
      <c r="C21" s="255" t="s">
        <v>214</v>
      </c>
      <c r="D21" s="255"/>
      <c r="E21" s="255"/>
      <c r="F21" s="255"/>
      <c r="G21" s="262" t="s">
        <v>574</v>
      </c>
      <c r="H21" s="262"/>
      <c r="I21" s="262"/>
      <c r="J21" s="262"/>
      <c r="K21" s="262"/>
      <c r="L21" s="262"/>
      <c r="M21" s="262"/>
    </row>
    <row r="22" spans="3:13" s="16" customFormat="1" ht="11.25" customHeight="1">
      <c r="C22" s="255"/>
      <c r="D22" s="255"/>
      <c r="E22" s="255"/>
      <c r="F22" s="255"/>
      <c r="G22" s="262"/>
      <c r="H22" s="262"/>
      <c r="I22" s="262"/>
      <c r="J22" s="262"/>
      <c r="K22" s="262"/>
      <c r="L22" s="262"/>
      <c r="M22" s="262"/>
    </row>
    <row r="23" spans="3:13" s="16" customFormat="1" ht="5.0999999999999996" customHeight="1">
      <c r="C23" s="257"/>
      <c r="D23" s="257"/>
      <c r="E23" s="257"/>
      <c r="F23" s="257"/>
      <c r="G23" s="193"/>
      <c r="H23" s="193"/>
      <c r="I23" s="193"/>
      <c r="J23" s="193"/>
      <c r="K23" s="193"/>
      <c r="L23" s="193"/>
      <c r="M23" s="193"/>
    </row>
    <row r="24" spans="3:13" s="16" customFormat="1" ht="11.25" customHeight="1">
      <c r="C24" s="255" t="s">
        <v>293</v>
      </c>
      <c r="D24" s="255"/>
      <c r="E24" s="255"/>
      <c r="F24" s="255"/>
      <c r="G24" s="260" t="s">
        <v>575</v>
      </c>
      <c r="H24" s="260"/>
      <c r="I24" s="260"/>
      <c r="J24" s="260"/>
      <c r="K24" s="260"/>
      <c r="L24" s="260"/>
      <c r="M24" s="260"/>
    </row>
    <row r="25" spans="3:13" s="16" customFormat="1">
      <c r="C25" s="254"/>
      <c r="D25" s="254"/>
      <c r="E25" s="254"/>
      <c r="F25" s="254"/>
      <c r="G25" s="260"/>
      <c r="H25" s="260"/>
      <c r="I25" s="260"/>
      <c r="J25" s="260"/>
      <c r="K25" s="260"/>
      <c r="L25" s="260"/>
      <c r="M25" s="260"/>
    </row>
    <row r="26" spans="3:13" s="16" customFormat="1" ht="5.0999999999999996" customHeight="1">
      <c r="C26" s="257"/>
      <c r="D26" s="257"/>
      <c r="E26" s="257"/>
      <c r="F26" s="257"/>
      <c r="G26" s="193"/>
      <c r="H26" s="193"/>
      <c r="I26" s="193"/>
      <c r="J26" s="193"/>
      <c r="K26" s="193"/>
      <c r="L26" s="193"/>
      <c r="M26" s="193"/>
    </row>
    <row r="27" spans="3:13" s="16" customFormat="1" ht="11.25" customHeight="1">
      <c r="C27" s="255" t="s">
        <v>215</v>
      </c>
      <c r="D27" s="255"/>
      <c r="E27" s="255"/>
      <c r="F27" s="255"/>
      <c r="G27" s="260" t="s">
        <v>294</v>
      </c>
      <c r="H27" s="260"/>
      <c r="I27" s="260"/>
      <c r="J27" s="260"/>
      <c r="K27" s="260"/>
      <c r="L27" s="260"/>
      <c r="M27" s="260"/>
    </row>
    <row r="28" spans="3:13" s="16" customFormat="1" ht="11.25" customHeight="1">
      <c r="C28" s="255"/>
      <c r="D28" s="255"/>
      <c r="E28" s="255"/>
      <c r="F28" s="255"/>
      <c r="G28" s="260"/>
      <c r="H28" s="260"/>
      <c r="I28" s="260"/>
      <c r="J28" s="260"/>
      <c r="K28" s="260"/>
      <c r="L28" s="260"/>
      <c r="M28" s="260"/>
    </row>
    <row r="29" spans="3:13" s="16" customFormat="1" ht="11.25" customHeight="1">
      <c r="C29" s="255"/>
      <c r="D29" s="255"/>
      <c r="E29" s="255"/>
      <c r="F29" s="255"/>
      <c r="G29" s="260"/>
      <c r="H29" s="260"/>
      <c r="I29" s="260"/>
      <c r="J29" s="260"/>
      <c r="K29" s="260"/>
      <c r="L29" s="260"/>
      <c r="M29" s="260"/>
    </row>
    <row r="30" spans="3:13" s="16" customFormat="1" ht="11.25" customHeight="1">
      <c r="C30" s="256"/>
      <c r="D30" s="256"/>
      <c r="E30" s="256"/>
      <c r="F30" s="256"/>
      <c r="G30" s="260"/>
      <c r="H30" s="260"/>
      <c r="I30" s="260"/>
      <c r="J30" s="260"/>
      <c r="K30" s="260"/>
      <c r="L30" s="260"/>
      <c r="M30" s="260"/>
    </row>
    <row r="31" spans="3:13" s="16" customFormat="1" ht="5.0999999999999996" customHeight="1">
      <c r="C31" s="254"/>
      <c r="D31" s="254"/>
      <c r="E31" s="254"/>
      <c r="F31" s="254"/>
      <c r="G31" s="194"/>
      <c r="H31" s="194"/>
      <c r="I31" s="194"/>
      <c r="J31" s="194"/>
      <c r="K31" s="194"/>
      <c r="L31" s="194"/>
      <c r="M31" s="194"/>
    </row>
    <row r="32" spans="3:13" s="16" customFormat="1" ht="10.5" customHeight="1">
      <c r="C32" s="255" t="s">
        <v>216</v>
      </c>
      <c r="D32" s="255"/>
      <c r="E32" s="255"/>
      <c r="F32" s="255"/>
      <c r="G32" s="260" t="s">
        <v>295</v>
      </c>
      <c r="H32" s="260"/>
      <c r="I32" s="260"/>
      <c r="J32" s="260"/>
      <c r="K32" s="260"/>
      <c r="L32" s="260"/>
      <c r="M32" s="260"/>
    </row>
    <row r="33" spans="3:13" s="16" customFormat="1" ht="11.25">
      <c r="C33" s="256"/>
      <c r="D33" s="256"/>
      <c r="E33" s="256"/>
      <c r="F33" s="256"/>
      <c r="G33" s="260"/>
      <c r="H33" s="260"/>
      <c r="I33" s="260"/>
      <c r="J33" s="260"/>
      <c r="K33" s="260"/>
      <c r="L33" s="260"/>
      <c r="M33" s="260"/>
    </row>
    <row r="34" spans="3:13" s="16" customFormat="1" ht="11.25">
      <c r="C34" s="256"/>
      <c r="D34" s="256"/>
      <c r="E34" s="256"/>
      <c r="F34" s="256"/>
      <c r="G34" s="260"/>
      <c r="H34" s="260"/>
      <c r="I34" s="260"/>
      <c r="J34" s="260"/>
      <c r="K34" s="260"/>
      <c r="L34" s="260"/>
      <c r="M34" s="260"/>
    </row>
    <row r="35" spans="3:13" s="16" customFormat="1" ht="11.25">
      <c r="C35" s="256"/>
      <c r="D35" s="256"/>
      <c r="E35" s="256"/>
      <c r="F35" s="256"/>
      <c r="G35" s="260"/>
      <c r="H35" s="260"/>
      <c r="I35" s="260"/>
      <c r="J35" s="260"/>
      <c r="K35" s="260"/>
      <c r="L35" s="260"/>
      <c r="M35" s="260"/>
    </row>
    <row r="36" spans="3:13" s="16" customFormat="1">
      <c r="C36" s="254"/>
      <c r="D36" s="254"/>
      <c r="E36" s="254"/>
      <c r="F36" s="254"/>
      <c r="G36" s="260"/>
      <c r="H36" s="260"/>
      <c r="I36" s="260"/>
      <c r="J36" s="260"/>
      <c r="K36" s="260"/>
      <c r="L36" s="260"/>
      <c r="M36" s="260"/>
    </row>
    <row r="37" spans="3:13" s="16" customFormat="1" ht="5.0999999999999996" customHeight="1">
      <c r="C37" s="254"/>
      <c r="D37" s="254"/>
      <c r="E37" s="254"/>
      <c r="F37" s="254"/>
      <c r="G37" s="194"/>
      <c r="H37" s="194"/>
      <c r="I37" s="194"/>
      <c r="J37" s="194"/>
      <c r="K37" s="194"/>
      <c r="L37" s="194"/>
      <c r="M37" s="194"/>
    </row>
    <row r="38" spans="3:13" s="16" customFormat="1">
      <c r="C38" s="255" t="s">
        <v>217</v>
      </c>
      <c r="D38" s="255"/>
      <c r="E38" s="255"/>
      <c r="F38" s="255"/>
      <c r="G38" s="259" t="s">
        <v>218</v>
      </c>
      <c r="H38" s="259"/>
      <c r="I38" s="258" t="s">
        <v>47</v>
      </c>
      <c r="J38" s="258"/>
      <c r="K38" s="258"/>
      <c r="L38" s="258"/>
      <c r="M38" s="258"/>
    </row>
    <row r="39" spans="3:13" s="16" customFormat="1">
      <c r="C39" s="254"/>
      <c r="D39" s="254"/>
      <c r="E39" s="254"/>
      <c r="F39" s="254"/>
      <c r="G39" s="259" t="s">
        <v>219</v>
      </c>
      <c r="H39" s="259"/>
      <c r="I39" s="258" t="s">
        <v>544</v>
      </c>
      <c r="J39" s="258"/>
      <c r="K39" s="258"/>
      <c r="L39" s="258"/>
      <c r="M39" s="258"/>
    </row>
    <row r="40" spans="3:13" s="16" customFormat="1" ht="5.0999999999999996" customHeight="1">
      <c r="C40" s="254"/>
      <c r="D40" s="254"/>
      <c r="E40" s="254"/>
      <c r="F40" s="254"/>
      <c r="G40" s="228"/>
      <c r="H40" s="228"/>
      <c r="I40" s="228"/>
      <c r="J40" s="228"/>
      <c r="K40" s="228"/>
      <c r="L40" s="228"/>
      <c r="M40" s="228"/>
    </row>
    <row r="41" spans="3:13" s="16" customFormat="1">
      <c r="C41" s="254"/>
      <c r="D41" s="254"/>
      <c r="E41" s="254"/>
      <c r="F41" s="254"/>
      <c r="G41" s="259" t="s">
        <v>296</v>
      </c>
      <c r="H41" s="259"/>
      <c r="I41" s="259"/>
      <c r="J41" s="259"/>
      <c r="K41" s="259"/>
      <c r="L41" s="259"/>
      <c r="M41" s="259"/>
    </row>
    <row r="42" spans="3:13" s="16" customFormat="1" ht="5.0999999999999996" customHeight="1">
      <c r="C42" s="254"/>
      <c r="D42" s="254"/>
      <c r="E42" s="254"/>
      <c r="F42" s="254"/>
      <c r="G42" s="228"/>
      <c r="H42" s="228"/>
      <c r="I42" s="228"/>
      <c r="J42" s="228"/>
      <c r="K42" s="228"/>
      <c r="L42" s="228"/>
      <c r="M42" s="228"/>
    </row>
    <row r="43" spans="3:13" s="16" customFormat="1">
      <c r="C43" s="254"/>
      <c r="D43" s="254"/>
      <c r="E43" s="254"/>
      <c r="F43" s="254"/>
      <c r="G43" s="259" t="s">
        <v>220</v>
      </c>
      <c r="H43" s="259"/>
      <c r="I43" s="258" t="s">
        <v>546</v>
      </c>
      <c r="J43" s="258"/>
      <c r="K43" s="258"/>
      <c r="L43" s="258"/>
      <c r="M43" s="258"/>
    </row>
    <row r="44" spans="3:13" s="16" customFormat="1" ht="5.0999999999999996" customHeight="1">
      <c r="C44" s="18"/>
      <c r="D44" s="18"/>
      <c r="E44" s="18"/>
      <c r="F44" s="18"/>
      <c r="G44" s="18"/>
      <c r="H44" s="18"/>
      <c r="I44" s="18"/>
      <c r="J44" s="18"/>
      <c r="K44" s="18"/>
      <c r="L44" s="18"/>
      <c r="M44" s="18"/>
    </row>
  </sheetData>
  <mergeCells count="53">
    <mergeCell ref="G24:M25"/>
    <mergeCell ref="G27:M30"/>
    <mergeCell ref="G15:M15"/>
    <mergeCell ref="G32:M36"/>
    <mergeCell ref="B3:F3"/>
    <mergeCell ref="G9:M11"/>
    <mergeCell ref="G13:M13"/>
    <mergeCell ref="G19:M19"/>
    <mergeCell ref="G21:M22"/>
    <mergeCell ref="G16:M16"/>
    <mergeCell ref="G17:M17"/>
    <mergeCell ref="C9:F9"/>
    <mergeCell ref="C10:F10"/>
    <mergeCell ref="C11:F11"/>
    <mergeCell ref="C12:F12"/>
    <mergeCell ref="C13:F13"/>
    <mergeCell ref="I38:M38"/>
    <mergeCell ref="I39:M39"/>
    <mergeCell ref="G41:M41"/>
    <mergeCell ref="I43:M43"/>
    <mergeCell ref="G43:H43"/>
    <mergeCell ref="G38:H38"/>
    <mergeCell ref="G39:H39"/>
    <mergeCell ref="C14:F14"/>
    <mergeCell ref="C15:F15"/>
    <mergeCell ref="C16:F16"/>
    <mergeCell ref="C17:F17"/>
    <mergeCell ref="C18:F18"/>
    <mergeCell ref="C19:F19"/>
    <mergeCell ref="C20:F20"/>
    <mergeCell ref="C21:F21"/>
    <mergeCell ref="C22:F22"/>
    <mergeCell ref="C23:F23"/>
    <mergeCell ref="C24:F24"/>
    <mergeCell ref="C25:F25"/>
    <mergeCell ref="C26:F26"/>
    <mergeCell ref="C27:F27"/>
    <mergeCell ref="C28:F28"/>
    <mergeCell ref="C29:F29"/>
    <mergeCell ref="C30:F30"/>
    <mergeCell ref="C31:F31"/>
    <mergeCell ref="C32:F32"/>
    <mergeCell ref="C33:F33"/>
    <mergeCell ref="C34:F34"/>
    <mergeCell ref="C35:F35"/>
    <mergeCell ref="C36:F36"/>
    <mergeCell ref="C37:F37"/>
    <mergeCell ref="C42:F42"/>
    <mergeCell ref="C43:F43"/>
    <mergeCell ref="C38:F38"/>
    <mergeCell ref="C39:F39"/>
    <mergeCell ref="C40:F40"/>
    <mergeCell ref="C41:F41"/>
  </mergeCells>
  <hyperlinks>
    <hyperlink ref="G21:M22" r:id="rId1" display="This model has been built in accordance with Version 6.0 of the Best Practice Spreadsheet Modelling Standards."/>
    <hyperlink ref="I38" location="HL_Home" tooltip="Go to Table of Contents" display="HL_Home"/>
    <hyperlink ref="I38:J38" r:id="rId2" tooltip="Email BPM." display="Info@bpmglobal.com"/>
    <hyperlink ref="I43:M43" r:id="rId3" tooltip="View more examples of best practice models." display="www.bestpracticemodelling.com/downloads/example_models"/>
    <hyperlink ref="I39" r:id="rId4"/>
    <hyperlink ref="I43" r:id="rId5"/>
    <hyperlink ref="B3" location="HL_Home" tooltip="Go to Table of Contents" display="HL_Home"/>
    <hyperlink ref="A4" location="$B$5" tooltip="Go to Top of Sheet" display="$B$5"/>
    <hyperlink ref="B4" location="HL_Sheet_Main_3" tooltip="Go to Previous Sheet" display="HL_Sheet_Main_3"/>
    <hyperlink ref="C4" location="HL_Sheet_Main_8" tooltip="Go to Next Sheet" display="HL_Sheet_Main_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94" orientation="landscape" horizontalDpi="300" verticalDpi="300" r:id="rId6"/>
  <headerFooter>
    <oddFooter>&amp;L&amp;F
&amp;A
Printed: &amp;T on &amp;D&amp;CPage &amp;P of &amp;N&amp;R&amp;G</oddFooter>
  </headerFooter>
  <legacyDrawingHF r:id="rId7"/>
</worksheet>
</file>

<file path=xl/worksheets/sheet6.xml><?xml version="1.0" encoding="utf-8"?>
<worksheet xmlns="http://schemas.openxmlformats.org/spreadsheetml/2006/main" xmlns:r="http://schemas.openxmlformats.org/officeDocument/2006/relationships">
  <sheetPr codeName="Sheet29">
    <pageSetUpPr autoPageBreaks="0" fitToPage="1"/>
  </sheetPr>
  <dimension ref="A1:P48"/>
  <sheetViews>
    <sheetView showGridLines="0" zoomScaleNormal="100" workbookViewId="0">
      <pane xSplit="1" ySplit="4" topLeftCell="B5" activePane="bottomRight" state="frozen"/>
      <selection activeCell="Q57" sqref="Q57"/>
      <selection pane="topRight" activeCell="Q57" sqref="Q57"/>
      <selection pane="bottomLeft" activeCell="Q57" sqref="Q57"/>
      <selection pane="bottomRight"/>
    </sheetView>
  </sheetViews>
  <sheetFormatPr defaultColWidth="2.33203125" defaultRowHeight="10.5" outlineLevelRow="1"/>
  <cols>
    <col min="1" max="1" width="3.83203125" style="29" customWidth="1"/>
    <col min="2" max="2" width="2.33203125" style="29" customWidth="1"/>
    <col min="3" max="3" width="5.83203125" style="29" bestFit="1" customWidth="1"/>
    <col min="4" max="4" width="20.83203125" style="29" customWidth="1"/>
    <col min="5" max="5" width="2.33203125" style="29"/>
    <col min="6" max="6" width="6.5" style="29" bestFit="1" customWidth="1"/>
    <col min="7" max="7" width="20.83203125" style="29" customWidth="1"/>
    <col min="8" max="8" width="2.33203125" style="29"/>
    <col min="9" max="9" width="5.83203125" style="29" bestFit="1" customWidth="1"/>
    <col min="10" max="10" width="20.83203125" style="29" customWidth="1"/>
    <col min="11" max="11" width="2.33203125" style="29"/>
    <col min="12" max="12" width="5.6640625" style="29" bestFit="1" customWidth="1"/>
    <col min="13" max="13" width="20.83203125" style="29" customWidth="1"/>
    <col min="14" max="15" width="2.33203125" style="29"/>
    <col min="16" max="16" width="20.83203125" style="29" customWidth="1"/>
    <col min="17" max="16384" width="2.33203125" style="29"/>
  </cols>
  <sheetData>
    <row r="1" spans="1:12" ht="18">
      <c r="A1" s="202"/>
      <c r="B1" s="31" t="s">
        <v>570</v>
      </c>
    </row>
    <row r="2" spans="1:12" ht="15">
      <c r="B2" s="30" t="str">
        <f>Model_Name</f>
        <v>SMA 8. Calculation Formulae - Best Practice Model Example</v>
      </c>
    </row>
    <row r="3" spans="1:12">
      <c r="B3" s="264" t="s">
        <v>49</v>
      </c>
      <c r="C3" s="264"/>
      <c r="D3" s="264"/>
      <c r="E3" s="201"/>
      <c r="F3" s="201"/>
      <c r="G3" s="201"/>
      <c r="H3" s="201"/>
      <c r="I3" s="201"/>
      <c r="J3" s="201"/>
      <c r="K3" s="201"/>
      <c r="L3" s="201"/>
    </row>
    <row r="4" spans="1:12" ht="12.75">
      <c r="A4" s="32" t="s">
        <v>52</v>
      </c>
      <c r="B4" s="265" t="s">
        <v>54</v>
      </c>
      <c r="C4" s="265"/>
      <c r="D4" s="266" t="s">
        <v>103</v>
      </c>
      <c r="E4" s="266"/>
      <c r="F4" s="263" t="s">
        <v>206</v>
      </c>
      <c r="G4" s="263"/>
      <c r="H4" s="263" t="s">
        <v>207</v>
      </c>
      <c r="I4" s="263"/>
      <c r="J4" s="263" t="s">
        <v>208</v>
      </c>
      <c r="K4" s="263"/>
    </row>
    <row r="7" spans="1:12" ht="12.75">
      <c r="B7" s="203" t="s">
        <v>547</v>
      </c>
    </row>
    <row r="9" spans="1:12">
      <c r="D9" s="204" t="s">
        <v>548</v>
      </c>
    </row>
    <row r="12" spans="1:12" ht="12.75">
      <c r="B12" s="203" t="s">
        <v>549</v>
      </c>
    </row>
    <row r="14" spans="1:12" ht="17.25" customHeight="1">
      <c r="D14" s="205" t="b">
        <v>0</v>
      </c>
    </row>
    <row r="17" spans="2:16" ht="12.75">
      <c r="B17" s="203" t="s">
        <v>550</v>
      </c>
    </row>
    <row r="19" spans="2:16" outlineLevel="1">
      <c r="D19" s="207" t="s">
        <v>551</v>
      </c>
      <c r="G19" s="210" t="s">
        <v>551</v>
      </c>
      <c r="J19" s="213" t="s">
        <v>551</v>
      </c>
      <c r="M19" s="216" t="s">
        <v>551</v>
      </c>
      <c r="P19" s="219" t="s">
        <v>551</v>
      </c>
    </row>
    <row r="20" spans="2:16">
      <c r="D20" s="206" t="s">
        <v>553</v>
      </c>
      <c r="G20" s="209" t="s">
        <v>554</v>
      </c>
      <c r="J20" s="212" t="s">
        <v>555</v>
      </c>
      <c r="M20" s="215" t="s">
        <v>10</v>
      </c>
      <c r="P20" s="218" t="str">
        <f>IF($D$14,"Inactive Component","Not Used")</f>
        <v>Not Used</v>
      </c>
    </row>
    <row r="21" spans="2:16" outlineLevel="1">
      <c r="D21" s="208" t="s">
        <v>552</v>
      </c>
      <c r="G21" s="211" t="s">
        <v>552</v>
      </c>
      <c r="J21" s="214" t="s">
        <v>552</v>
      </c>
      <c r="M21" s="217" t="s">
        <v>552</v>
      </c>
      <c r="P21" s="220" t="s">
        <v>552</v>
      </c>
    </row>
    <row r="24" spans="2:16" ht="12.75">
      <c r="B24" s="203" t="s">
        <v>556</v>
      </c>
    </row>
    <row r="26" spans="2:16" outlineLevel="1">
      <c r="C26" s="221" t="b">
        <v>1</v>
      </c>
      <c r="D26" s="210" t="s">
        <v>558</v>
      </c>
      <c r="F26" s="221" t="b">
        <f>$C$26</f>
        <v>1</v>
      </c>
      <c r="G26" s="207" t="s">
        <v>560</v>
      </c>
      <c r="I26" s="221" t="b">
        <f>$F$26</f>
        <v>1</v>
      </c>
      <c r="J26" s="213" t="s">
        <v>562</v>
      </c>
    </row>
    <row r="27" spans="2:16">
      <c r="D27" s="209" t="s">
        <v>557</v>
      </c>
      <c r="G27" s="206" t="s">
        <v>559</v>
      </c>
      <c r="J27" s="212" t="s">
        <v>561</v>
      </c>
    </row>
    <row r="28" spans="2:16" outlineLevel="1">
      <c r="C28" s="221">
        <f>IF(Fcast_TO!J$12=1,Fcast_TA!J18,Fcast_TO!I18*(1+Fcast_TA!J18))</f>
        <v>125</v>
      </c>
      <c r="D28" s="222">
        <f>IF(ISERROR(C28),"Error",C28)</f>
        <v>125</v>
      </c>
      <c r="F28" s="221" t="b">
        <f>Fcast_TO!J$12=1</f>
        <v>1</v>
      </c>
      <c r="G28" s="208" t="b">
        <f>IF(ISERROR(F28),"Error",F28)</f>
        <v>1</v>
      </c>
      <c r="I28" s="221">
        <f>Fcast_TO!J$12</f>
        <v>1</v>
      </c>
      <c r="J28" s="223">
        <f>IF(ISERROR(I28),"Error",I28)</f>
        <v>1</v>
      </c>
    </row>
    <row r="30" spans="2:16" outlineLevel="1">
      <c r="I30" s="221" t="b">
        <f>$F$26</f>
        <v>1</v>
      </c>
      <c r="J30" s="216" t="s">
        <v>563</v>
      </c>
    </row>
    <row r="31" spans="2:16">
      <c r="J31" s="215">
        <v>1</v>
      </c>
    </row>
    <row r="32" spans="2:16" outlineLevel="1">
      <c r="I32" s="221">
        <f>1</f>
        <v>1</v>
      </c>
      <c r="J32" s="217">
        <f>IF(ISERROR(I32),"Error",I32)</f>
        <v>1</v>
      </c>
    </row>
    <row r="34" spans="6:13" outlineLevel="1">
      <c r="F34" s="221" t="b">
        <f>IF(NOT($D$14),TRUE,IF(ISERROR($C$26*$F$28),FALSE,$C$26*$F$28))</f>
        <v>1</v>
      </c>
      <c r="G34" s="213" t="s">
        <v>565</v>
      </c>
    </row>
    <row r="35" spans="6:13">
      <c r="G35" s="212" t="s">
        <v>564</v>
      </c>
    </row>
    <row r="36" spans="6:13" outlineLevel="1">
      <c r="F36" s="221">
        <f>Fcast_TA!J18</f>
        <v>125</v>
      </c>
      <c r="G36" s="224">
        <f>IF(ISERROR(F36),"Error",F36)</f>
        <v>125</v>
      </c>
    </row>
    <row r="38" spans="6:13" outlineLevel="1">
      <c r="F38" s="221" t="b">
        <f>IF(NOT($D$14),TRUE,IF(ISERROR($C$26*NOT($F$28)),FALSE,$C$26*NOT($F$28)))</f>
        <v>1</v>
      </c>
      <c r="G38" s="207" t="s">
        <v>567</v>
      </c>
      <c r="I38" s="221" t="b">
        <f>$F$38</f>
        <v>1</v>
      </c>
      <c r="J38" s="213" t="s">
        <v>562</v>
      </c>
    </row>
    <row r="39" spans="6:13">
      <c r="G39" s="206" t="s">
        <v>566</v>
      </c>
      <c r="J39" s="212" t="s">
        <v>568</v>
      </c>
    </row>
    <row r="40" spans="6:13" outlineLevel="1">
      <c r="F40" s="221">
        <f>Fcast_TO!I18*(1+Fcast_TA!J18)</f>
        <v>0</v>
      </c>
      <c r="G40" s="208">
        <f>IF(ISERROR(F40),"Error",F40)</f>
        <v>0</v>
      </c>
      <c r="I40" s="221">
        <f>Fcast_TO!I18</f>
        <v>0</v>
      </c>
      <c r="J40" s="225">
        <f>IF(ISERROR(I40),"Error",I40)</f>
        <v>0</v>
      </c>
    </row>
    <row r="42" spans="6:13" outlineLevel="1">
      <c r="I42" s="221" t="b">
        <f>$F$38</f>
        <v>1</v>
      </c>
      <c r="J42" s="207" t="s">
        <v>563</v>
      </c>
      <c r="L42" s="221" t="b">
        <f>$I$42</f>
        <v>1</v>
      </c>
      <c r="M42" s="216" t="s">
        <v>562</v>
      </c>
    </row>
    <row r="43" spans="6:13">
      <c r="J43" s="206" t="s">
        <v>569</v>
      </c>
      <c r="M43" s="215">
        <v>1</v>
      </c>
    </row>
    <row r="44" spans="6:13" outlineLevel="1">
      <c r="I44" s="221">
        <f>1+Fcast_TA!J18</f>
        <v>126</v>
      </c>
      <c r="J44" s="208">
        <f>IF(ISERROR(I44),"Error",I44)</f>
        <v>126</v>
      </c>
      <c r="L44" s="221">
        <f>1</f>
        <v>1</v>
      </c>
      <c r="M44" s="217">
        <f>IF(ISERROR(L44),"Error",L44)</f>
        <v>1</v>
      </c>
    </row>
    <row r="46" spans="6:13" outlineLevel="1">
      <c r="L46" s="221" t="b">
        <f>$I$42</f>
        <v>1</v>
      </c>
      <c r="M46" s="213" t="s">
        <v>563</v>
      </c>
    </row>
    <row r="47" spans="6:13">
      <c r="M47" s="212" t="s">
        <v>564</v>
      </c>
    </row>
    <row r="48" spans="6:13" outlineLevel="1">
      <c r="L48" s="221">
        <f>Fcast_TA!J18</f>
        <v>125</v>
      </c>
      <c r="M48" s="224">
        <f>IF(ISERROR(L48),"Error",L48)</f>
        <v>125</v>
      </c>
    </row>
  </sheetData>
  <mergeCells count="6">
    <mergeCell ref="J4:K4"/>
    <mergeCell ref="B3:D3"/>
    <mergeCell ref="B4:C4"/>
    <mergeCell ref="D4:E4"/>
    <mergeCell ref="F4:G4"/>
    <mergeCell ref="H4:I4"/>
  </mergeCells>
  <conditionalFormatting sqref="D27">
    <cfRule type="expression" dxfId="97" priority="1" stopIfTrue="1">
      <formula>NOT($C$26)</formula>
    </cfRule>
  </conditionalFormatting>
  <conditionalFormatting sqref="D26">
    <cfRule type="expression" dxfId="96" priority="2" stopIfTrue="1">
      <formula>NOT($C$26)</formula>
    </cfRule>
  </conditionalFormatting>
  <conditionalFormatting sqref="D28">
    <cfRule type="expression" dxfId="95" priority="3" stopIfTrue="1">
      <formula>NOT($C$26)</formula>
    </cfRule>
  </conditionalFormatting>
  <conditionalFormatting sqref="G27">
    <cfRule type="expression" dxfId="94" priority="4" stopIfTrue="1">
      <formula>NOT($F$26)</formula>
    </cfRule>
  </conditionalFormatting>
  <conditionalFormatting sqref="G26">
    <cfRule type="expression" dxfId="93" priority="5" stopIfTrue="1">
      <formula>NOT($F$26)</formula>
    </cfRule>
  </conditionalFormatting>
  <conditionalFormatting sqref="G28">
    <cfRule type="expression" dxfId="92" priority="6" stopIfTrue="1">
      <formula>NOT($F$26)</formula>
    </cfRule>
  </conditionalFormatting>
  <conditionalFormatting sqref="J27">
    <cfRule type="expression" dxfId="91" priority="7" stopIfTrue="1">
      <formula>NOT($I$26)</formula>
    </cfRule>
  </conditionalFormatting>
  <conditionalFormatting sqref="J26">
    <cfRule type="expression" dxfId="90" priority="8" stopIfTrue="1">
      <formula>NOT($I$26)</formula>
    </cfRule>
  </conditionalFormatting>
  <conditionalFormatting sqref="J28">
    <cfRule type="expression" dxfId="89" priority="9" stopIfTrue="1">
      <formula>NOT($I$26)</formula>
    </cfRule>
  </conditionalFormatting>
  <conditionalFormatting sqref="J31">
    <cfRule type="expression" dxfId="88" priority="10" stopIfTrue="1">
      <formula>NOT($I$30)</formula>
    </cfRule>
  </conditionalFormatting>
  <conditionalFormatting sqref="J30">
    <cfRule type="expression" dxfId="87" priority="11" stopIfTrue="1">
      <formula>NOT($I$30)</formula>
    </cfRule>
  </conditionalFormatting>
  <conditionalFormatting sqref="J32">
    <cfRule type="expression" dxfId="86" priority="12" stopIfTrue="1">
      <formula>NOT($I$30)</formula>
    </cfRule>
  </conditionalFormatting>
  <conditionalFormatting sqref="G35">
    <cfRule type="expression" dxfId="85" priority="13" stopIfTrue="1">
      <formula>NOT($F$34)</formula>
    </cfRule>
  </conditionalFormatting>
  <conditionalFormatting sqref="G34">
    <cfRule type="expression" dxfId="84" priority="14" stopIfTrue="1">
      <formula>NOT($F$34)</formula>
    </cfRule>
  </conditionalFormatting>
  <conditionalFormatting sqref="G36">
    <cfRule type="expression" dxfId="83" priority="15" stopIfTrue="1">
      <formula>NOT($F$34)</formula>
    </cfRule>
  </conditionalFormatting>
  <conditionalFormatting sqref="G39">
    <cfRule type="expression" dxfId="82" priority="16" stopIfTrue="1">
      <formula>NOT($F$38)</formula>
    </cfRule>
  </conditionalFormatting>
  <conditionalFormatting sqref="G38">
    <cfRule type="expression" dxfId="81" priority="17" stopIfTrue="1">
      <formula>NOT($F$38)</formula>
    </cfRule>
  </conditionalFormatting>
  <conditionalFormatting sqref="G40">
    <cfRule type="expression" dxfId="80" priority="18" stopIfTrue="1">
      <formula>NOT($F$38)</formula>
    </cfRule>
  </conditionalFormatting>
  <conditionalFormatting sqref="J39">
    <cfRule type="expression" dxfId="79" priority="19" stopIfTrue="1">
      <formula>NOT($I$38)</formula>
    </cfRule>
  </conditionalFormatting>
  <conditionalFormatting sqref="J38">
    <cfRule type="expression" dxfId="78" priority="20" stopIfTrue="1">
      <formula>NOT($I$38)</formula>
    </cfRule>
  </conditionalFormatting>
  <conditionalFormatting sqref="J40">
    <cfRule type="expression" dxfId="77" priority="21" stopIfTrue="1">
      <formula>NOT($I$38)</formula>
    </cfRule>
  </conditionalFormatting>
  <conditionalFormatting sqref="J43">
    <cfRule type="expression" dxfId="76" priority="22" stopIfTrue="1">
      <formula>NOT($I$42)</formula>
    </cfRule>
  </conditionalFormatting>
  <conditionalFormatting sqref="J42">
    <cfRule type="expression" dxfId="75" priority="23" stopIfTrue="1">
      <formula>NOT($I$42)</formula>
    </cfRule>
  </conditionalFormatting>
  <conditionalFormatting sqref="J44">
    <cfRule type="expression" dxfId="74" priority="24" stopIfTrue="1">
      <formula>NOT($I$42)</formula>
    </cfRule>
  </conditionalFormatting>
  <conditionalFormatting sqref="M43">
    <cfRule type="expression" dxfId="73" priority="25" stopIfTrue="1">
      <formula>NOT($L$42)</formula>
    </cfRule>
  </conditionalFormatting>
  <conditionalFormatting sqref="M42">
    <cfRule type="expression" dxfId="72" priority="26" stopIfTrue="1">
      <formula>NOT($L$42)</formula>
    </cfRule>
  </conditionalFormatting>
  <conditionalFormatting sqref="M44">
    <cfRule type="expression" dxfId="71" priority="27" stopIfTrue="1">
      <formula>NOT($L$42)</formula>
    </cfRule>
  </conditionalFormatting>
  <conditionalFormatting sqref="M47">
    <cfRule type="expression" dxfId="70" priority="28" stopIfTrue="1">
      <formula>NOT($L$46)</formula>
    </cfRule>
  </conditionalFormatting>
  <conditionalFormatting sqref="M46">
    <cfRule type="expression" dxfId="69" priority="29" stopIfTrue="1">
      <formula>NOT($L$46)</formula>
    </cfRule>
  </conditionalFormatting>
  <conditionalFormatting sqref="M48">
    <cfRule type="expression" dxfId="68" priority="30" stopIfTrue="1">
      <formula>NOT($L$46)</formula>
    </cfRule>
  </conditionalFormatting>
  <dataValidations count="1">
    <dataValidation type="custom" showDropDown="1" showErrorMessage="1" errorTitle="6 Cell Link" error="The value in an option button cell link must be either &quot;TRUE&quot; or &quot;FALSE&quot;" sqref="D14">
      <formula1>ISLOGICAL(D14)</formula1>
    </dataValidation>
  </dataValidations>
  <hyperlinks>
    <hyperlink ref="B3" location="HL_Home" tooltip="Go to Table of Contents" display="HL_Home"/>
    <hyperlink ref="A4" location="$B$5" tooltip="Go to Top of Sheet" display="$B$5"/>
    <hyperlink ref="D4" location="HL_Sheet_Main_6" tooltip="Go to Next Sheet" display="HL_Sheet_Main_6"/>
    <hyperlink ref="B4" location="HL_Sheet_Main" tooltip="Go to Previous Sheet" display="HL_Sheet_Main"/>
    <hyperlink ref="F4" location="HL_Err_Chk" tooltip="Go to Error Checks" display="HL_Err_Chk"/>
    <hyperlink ref="H4" location="HL_Sens_Chk" tooltip="Go to Sensitivity Checks" display="HL_Sens_Chk"/>
    <hyperlink ref="J4" location="HL_Alt_Chk" tooltip="Go to Alert Checks" display="HL_Alt_Chk"/>
  </hyperlinks>
  <pageMargins left="0.39370078740157483" right="0.39370078740157483" top="0.59055118110236227" bottom="0.98425196850393704" header="0" footer="0.31496062992125984"/>
  <pageSetup paperSize="9" scale="88" orientation="landscape" horizontalDpi="1200" verticalDpi="1200" r:id="rId1"/>
  <headerFooter>
    <oddFooter>&amp;L&amp;F
&amp;A
Printed: &amp;T on &amp;D&amp;CPage &amp;P of &amp;N</oddFooter>
  </headerFooter>
  <drawing r:id="rId2"/>
  <legacyDrawing r:id="rId3"/>
</worksheet>
</file>

<file path=xl/worksheets/sheet7.xml><?xml version="1.0" encoding="utf-8"?>
<worksheet xmlns="http://schemas.openxmlformats.org/spreadsheetml/2006/main" xmlns:r="http://schemas.openxmlformats.org/officeDocument/2006/relationships">
  <sheetPr codeName="Sheet6">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302</v>
      </c>
    </row>
    <row r="10" spans="3:7" ht="16.5">
      <c r="C10" s="28" t="s">
        <v>198</v>
      </c>
    </row>
    <row r="11" spans="3:7" ht="15">
      <c r="C11" s="2" t="str">
        <f>Model_Name</f>
        <v>SMA 8. Calculation Formulae - Best Practice Model Example</v>
      </c>
    </row>
    <row r="12" spans="3:7">
      <c r="C12" s="245" t="s">
        <v>49</v>
      </c>
      <c r="D12" s="245"/>
      <c r="E12" s="245"/>
      <c r="F12" s="245"/>
      <c r="G12" s="245"/>
    </row>
    <row r="13" spans="3:7" ht="12.75">
      <c r="C13" s="12" t="s">
        <v>54</v>
      </c>
      <c r="D13" s="13" t="s">
        <v>103</v>
      </c>
    </row>
    <row r="17" spans="3:3">
      <c r="C17" s="26" t="s">
        <v>468</v>
      </c>
    </row>
    <row r="18" spans="3:3">
      <c r="C18" s="27" t="s">
        <v>291</v>
      </c>
    </row>
    <row r="19" spans="3:3">
      <c r="C19" s="27"/>
    </row>
    <row r="20" spans="3:3">
      <c r="C20" s="27"/>
    </row>
  </sheetData>
  <mergeCells count="1">
    <mergeCell ref="C12:G12"/>
  </mergeCells>
  <hyperlinks>
    <hyperlink ref="C12" location="HL_Home" tooltip="Go to Table of Contents" display="HL_Home"/>
    <hyperlink ref="C13" location="HL_Sheet_Main_8" tooltip="Go to Previous Sheet" display="HL_Sheet_Main_8"/>
    <hyperlink ref="D13" location="HL_Sheet_Main_7" tooltip="Go to Next Sheet" display="HL_Sheet_Main_7"/>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8.xml><?xml version="1.0" encoding="utf-8"?>
<worksheet xmlns="http://schemas.openxmlformats.org/spreadsheetml/2006/main" xmlns:r="http://schemas.openxmlformats.org/officeDocument/2006/relationships">
  <sheetPr codeName="Sheet7">
    <pageSetUpPr autoPageBreaks="0"/>
  </sheetPr>
  <dimension ref="A1:N137"/>
  <sheetViews>
    <sheetView showGridLines="0" zoomScaleNormal="100" workbookViewId="0">
      <pane xSplit="1" ySplit="4" topLeftCell="B5" activePane="bottomRight" state="frozen"/>
      <selection activeCell="Q57" sqref="Q57"/>
      <selection pane="topRight" activeCell="Q57" sqref="Q57"/>
      <selection pane="bottomLeft" activeCell="Q57" sqref="Q57"/>
      <selection pane="bottomRight"/>
    </sheetView>
  </sheetViews>
  <sheetFormatPr defaultRowHeight="10.5"/>
  <cols>
    <col min="1" max="5" width="3.83203125" customWidth="1"/>
    <col min="6" max="256" width="11.83203125" customWidth="1"/>
  </cols>
  <sheetData>
    <row r="1" spans="1:14" ht="18">
      <c r="B1" s="1" t="s">
        <v>302</v>
      </c>
    </row>
    <row r="2" spans="1:14" ht="15">
      <c r="B2" s="2" t="str">
        <f>Model_Name</f>
        <v>SMA 8. Calculation Formulae - Best Practice Model Example</v>
      </c>
    </row>
    <row r="3" spans="1:14">
      <c r="B3" s="245" t="s">
        <v>49</v>
      </c>
      <c r="C3" s="245"/>
      <c r="D3" s="245"/>
      <c r="E3" s="245"/>
      <c r="F3" s="245"/>
    </row>
    <row r="4" spans="1:14" ht="12.75">
      <c r="A4" s="11" t="s">
        <v>52</v>
      </c>
      <c r="B4" s="12" t="s">
        <v>54</v>
      </c>
      <c r="C4" s="13" t="s">
        <v>103</v>
      </c>
      <c r="D4" s="238" t="s">
        <v>206</v>
      </c>
      <c r="E4" s="238" t="s">
        <v>207</v>
      </c>
      <c r="F4" s="14" t="s">
        <v>208</v>
      </c>
    </row>
    <row r="5" spans="1:14" s="16" customFormat="1" ht="12.75">
      <c r="B5" s="12"/>
      <c r="C5" s="13"/>
      <c r="D5" s="230"/>
      <c r="E5" s="230"/>
      <c r="F5" s="14"/>
    </row>
    <row r="6" spans="1:14" s="16" customFormat="1" ht="12.75">
      <c r="A6" s="11"/>
      <c r="B6" s="12"/>
      <c r="C6" s="13"/>
      <c r="D6" s="230"/>
      <c r="E6" s="230"/>
      <c r="F6" s="14"/>
    </row>
    <row r="7" spans="1:14" s="16" customFormat="1" ht="12.75">
      <c r="A7" s="11"/>
      <c r="B7" s="33" t="s">
        <v>106</v>
      </c>
      <c r="C7" s="13"/>
      <c r="D7" s="230"/>
      <c r="E7" s="230"/>
      <c r="F7" s="14"/>
    </row>
    <row r="8" spans="1:14" s="16" customFormat="1" ht="12.75">
      <c r="A8" s="11"/>
      <c r="B8" s="12"/>
      <c r="C8" s="13"/>
      <c r="D8" s="230"/>
      <c r="E8" s="230"/>
      <c r="F8" s="14"/>
    </row>
    <row r="9" spans="1:14" s="16" customFormat="1" ht="12.75">
      <c r="A9" s="11"/>
      <c r="B9" s="12"/>
      <c r="C9" s="231"/>
      <c r="D9" s="35" t="s">
        <v>107</v>
      </c>
      <c r="E9" s="232"/>
      <c r="F9" s="233"/>
      <c r="G9" s="18"/>
      <c r="H9" s="35" t="s">
        <v>108</v>
      </c>
      <c r="I9" s="18"/>
      <c r="J9" s="18"/>
      <c r="K9" s="18"/>
      <c r="L9" s="18"/>
      <c r="M9" s="272" t="s">
        <v>109</v>
      </c>
      <c r="N9" s="272"/>
    </row>
    <row r="10" spans="1:14" s="16" customFormat="1" ht="5.0999999999999996" customHeight="1">
      <c r="A10" s="11"/>
      <c r="B10" s="12"/>
      <c r="C10" s="13"/>
      <c r="D10" s="230"/>
      <c r="E10" s="230"/>
      <c r="F10" s="14"/>
    </row>
    <row r="11" spans="1:14" s="16" customFormat="1" ht="12.75">
      <c r="A11" s="11"/>
      <c r="B11" s="12"/>
      <c r="C11" s="13"/>
      <c r="D11" s="26" t="s">
        <v>303</v>
      </c>
      <c r="E11" s="230"/>
      <c r="F11" s="14"/>
    </row>
    <row r="12" spans="1:14" s="16" customFormat="1" ht="5.0999999999999996" customHeight="1">
      <c r="A12" s="11"/>
      <c r="B12" s="12"/>
      <c r="C12" s="13"/>
      <c r="D12" s="230"/>
      <c r="E12" s="230"/>
      <c r="F12" s="14"/>
    </row>
    <row r="13" spans="1:14" s="16" customFormat="1" ht="12.75">
      <c r="A13" s="11"/>
      <c r="B13" s="12"/>
      <c r="C13" s="13"/>
      <c r="D13" s="267" t="s">
        <v>577</v>
      </c>
      <c r="E13" s="267"/>
      <c r="F13" s="267"/>
      <c r="G13" s="267"/>
      <c r="H13" s="267" t="s">
        <v>578</v>
      </c>
      <c r="I13" s="267"/>
      <c r="J13" s="267"/>
      <c r="K13" s="267"/>
      <c r="L13" s="267"/>
      <c r="M13" s="280" t="s">
        <v>577</v>
      </c>
      <c r="N13" s="280"/>
    </row>
    <row r="14" spans="1:14" s="16" customFormat="1" ht="5.0999999999999996" customHeight="1">
      <c r="A14" s="11"/>
      <c r="B14" s="12"/>
      <c r="C14" s="13"/>
      <c r="D14" s="230"/>
      <c r="E14" s="230"/>
      <c r="F14" s="14"/>
    </row>
    <row r="15" spans="1:14" s="16" customFormat="1" ht="12.75">
      <c r="A15" s="11"/>
      <c r="B15" s="12"/>
      <c r="C15" s="13"/>
      <c r="D15" s="267" t="s">
        <v>547</v>
      </c>
      <c r="E15" s="267"/>
      <c r="F15" s="267"/>
      <c r="G15" s="267"/>
      <c r="H15" s="267" t="s">
        <v>579</v>
      </c>
      <c r="I15" s="267"/>
      <c r="J15" s="267"/>
      <c r="K15" s="267"/>
      <c r="L15" s="267"/>
      <c r="M15" s="278" t="s">
        <v>547</v>
      </c>
      <c r="N15" s="278"/>
    </row>
    <row r="16" spans="1:14" s="16" customFormat="1" ht="5.0999999999999996" customHeight="1">
      <c r="A16" s="11"/>
      <c r="B16" s="12"/>
      <c r="C16" s="13"/>
      <c r="D16" s="230"/>
      <c r="E16" s="230"/>
      <c r="F16" s="14"/>
    </row>
    <row r="17" spans="1:14" s="16" customFormat="1" ht="12.75">
      <c r="A17" s="11"/>
      <c r="B17" s="12"/>
      <c r="C17" s="13"/>
      <c r="D17" s="267" t="s">
        <v>580</v>
      </c>
      <c r="E17" s="267"/>
      <c r="F17" s="267"/>
      <c r="G17" s="267"/>
      <c r="H17" s="267" t="s">
        <v>581</v>
      </c>
      <c r="I17" s="267"/>
      <c r="J17" s="267"/>
      <c r="K17" s="267"/>
      <c r="L17" s="267"/>
      <c r="M17" s="279" t="s">
        <v>580</v>
      </c>
      <c r="N17" s="279"/>
    </row>
    <row r="18" spans="1:14" s="16" customFormat="1" ht="12.75">
      <c r="A18" s="11"/>
      <c r="B18" s="12"/>
      <c r="C18" s="13"/>
      <c r="D18" s="267"/>
      <c r="E18" s="267"/>
      <c r="F18" s="267"/>
      <c r="G18" s="267"/>
      <c r="H18" s="267"/>
      <c r="I18" s="267"/>
      <c r="J18" s="267"/>
      <c r="K18" s="267"/>
      <c r="L18" s="267"/>
    </row>
    <row r="19" spans="1:14" s="16" customFormat="1" ht="5.0999999999999996" customHeight="1">
      <c r="A19" s="11"/>
      <c r="B19" s="12"/>
      <c r="C19" s="13"/>
      <c r="D19" s="230"/>
      <c r="E19" s="230"/>
      <c r="F19" s="14"/>
    </row>
    <row r="20" spans="1:14" s="16" customFormat="1" ht="12.75">
      <c r="A20" s="11"/>
      <c r="B20" s="12"/>
      <c r="C20" s="13"/>
      <c r="D20" s="267" t="s">
        <v>229</v>
      </c>
      <c r="E20" s="267"/>
      <c r="F20" s="267"/>
      <c r="G20" s="267"/>
      <c r="H20" s="267" t="s">
        <v>582</v>
      </c>
      <c r="I20" s="267"/>
      <c r="J20" s="267"/>
      <c r="K20" s="267"/>
      <c r="L20" s="267"/>
      <c r="M20" s="277" t="s">
        <v>229</v>
      </c>
      <c r="N20" s="277"/>
    </row>
    <row r="21" spans="1:14" s="16" customFormat="1" ht="5.0999999999999996" customHeight="1">
      <c r="A21" s="11"/>
      <c r="B21" s="12"/>
      <c r="C21" s="13"/>
      <c r="D21" s="230"/>
      <c r="E21" s="230"/>
      <c r="F21" s="14"/>
    </row>
    <row r="22" spans="1:14" s="16" customFormat="1" ht="5.0999999999999996" customHeight="1">
      <c r="A22" s="11"/>
      <c r="B22" s="12"/>
      <c r="C22" s="13"/>
      <c r="D22" s="230"/>
      <c r="E22" s="230"/>
      <c r="F22" s="14"/>
    </row>
    <row r="23" spans="1:14" s="16" customFormat="1" ht="12.75">
      <c r="A23" s="11"/>
      <c r="B23" s="12"/>
      <c r="C23" s="13"/>
      <c r="D23" s="267" t="s">
        <v>110</v>
      </c>
      <c r="E23" s="267"/>
      <c r="F23" s="267"/>
      <c r="G23" s="267"/>
      <c r="H23" s="267" t="s">
        <v>583</v>
      </c>
      <c r="I23" s="267"/>
      <c r="J23" s="267"/>
      <c r="K23" s="267"/>
      <c r="L23" s="267"/>
      <c r="M23" s="269" t="s">
        <v>110</v>
      </c>
      <c r="N23" s="269"/>
    </row>
    <row r="24" spans="1:14" s="16" customFormat="1" ht="12.75">
      <c r="A24" s="11"/>
      <c r="B24" s="12"/>
      <c r="C24" s="13"/>
      <c r="D24" s="267"/>
      <c r="E24" s="267"/>
      <c r="F24" s="267"/>
      <c r="G24" s="267"/>
      <c r="H24" s="267"/>
      <c r="I24" s="267"/>
      <c r="J24" s="267"/>
      <c r="K24" s="267"/>
      <c r="L24" s="267"/>
    </row>
    <row r="25" spans="1:14" s="16" customFormat="1" ht="5.0999999999999996" customHeight="1">
      <c r="A25" s="11"/>
      <c r="B25" s="12"/>
      <c r="C25" s="13"/>
      <c r="D25" s="230"/>
      <c r="E25" s="230"/>
      <c r="F25" s="14"/>
    </row>
    <row r="26" spans="1:14" s="16" customFormat="1" ht="12.75">
      <c r="A26" s="11"/>
      <c r="B26" s="12"/>
      <c r="C26" s="13"/>
      <c r="D26" s="26" t="s">
        <v>304</v>
      </c>
      <c r="E26" s="230"/>
      <c r="F26" s="14"/>
    </row>
    <row r="27" spans="1:14" s="16" customFormat="1" ht="5.0999999999999996" customHeight="1">
      <c r="A27" s="11"/>
      <c r="B27" s="12"/>
      <c r="C27" s="13"/>
      <c r="D27" s="230"/>
      <c r="E27" s="230"/>
      <c r="F27" s="14"/>
    </row>
    <row r="28" spans="1:14" s="16" customFormat="1" ht="12.75">
      <c r="A28" s="11"/>
      <c r="B28" s="12"/>
      <c r="C28" s="13"/>
      <c r="D28" s="267" t="s">
        <v>584</v>
      </c>
      <c r="E28" s="267"/>
      <c r="F28" s="267"/>
      <c r="G28" s="267"/>
      <c r="H28" s="267" t="s">
        <v>585</v>
      </c>
      <c r="I28" s="267"/>
      <c r="J28" s="267"/>
      <c r="K28" s="267"/>
      <c r="L28" s="267"/>
      <c r="M28" s="273"/>
      <c r="N28" s="274"/>
    </row>
    <row r="29" spans="1:14" s="16" customFormat="1" ht="5.0999999999999996" customHeight="1">
      <c r="A29" s="11"/>
      <c r="B29" s="12"/>
      <c r="C29" s="13"/>
      <c r="D29" s="230"/>
      <c r="E29" s="230"/>
      <c r="F29" s="14"/>
    </row>
    <row r="30" spans="1:14" s="16" customFormat="1" ht="12.75">
      <c r="A30" s="11"/>
      <c r="B30" s="12"/>
      <c r="C30" s="13"/>
      <c r="D30" s="267" t="s">
        <v>586</v>
      </c>
      <c r="E30" s="267"/>
      <c r="F30" s="267"/>
      <c r="G30" s="267"/>
      <c r="H30" s="267" t="s">
        <v>587</v>
      </c>
      <c r="I30" s="267"/>
      <c r="J30" s="267"/>
      <c r="K30" s="267"/>
      <c r="L30" s="267"/>
      <c r="M30" s="275"/>
      <c r="N30" s="276"/>
    </row>
    <row r="31" spans="1:14" s="16" customFormat="1" ht="12.75">
      <c r="A31" s="11"/>
      <c r="B31" s="12"/>
      <c r="C31" s="13"/>
      <c r="D31" s="267"/>
      <c r="E31" s="267"/>
      <c r="F31" s="267"/>
      <c r="G31" s="267"/>
      <c r="H31" s="267"/>
      <c r="I31" s="267"/>
      <c r="J31" s="267"/>
      <c r="K31" s="267"/>
      <c r="L31" s="267"/>
    </row>
    <row r="32" spans="1:14" s="16" customFormat="1" ht="5.0999999999999996" customHeight="1">
      <c r="A32" s="11"/>
      <c r="B32" s="12"/>
      <c r="C32" s="13"/>
      <c r="D32" s="230"/>
      <c r="E32" s="230"/>
      <c r="F32" s="14"/>
    </row>
    <row r="33" spans="1:14" s="16" customFormat="1" ht="12.75">
      <c r="A33" s="11"/>
      <c r="B33" s="12"/>
      <c r="C33" s="13"/>
      <c r="D33" s="267" t="s">
        <v>588</v>
      </c>
      <c r="E33" s="267"/>
      <c r="F33" s="267"/>
      <c r="G33" s="267"/>
      <c r="H33" s="267" t="s">
        <v>589</v>
      </c>
      <c r="I33" s="267"/>
      <c r="J33" s="267"/>
      <c r="K33" s="267"/>
      <c r="L33" s="267"/>
      <c r="M33" s="270"/>
      <c r="N33" s="271"/>
    </row>
    <row r="34" spans="1:14" s="16" customFormat="1" ht="12.75">
      <c r="A34" s="11"/>
      <c r="B34" s="12"/>
      <c r="C34" s="13"/>
      <c r="D34" s="267"/>
      <c r="E34" s="267"/>
      <c r="F34" s="267"/>
      <c r="G34" s="267"/>
      <c r="H34" s="267"/>
      <c r="I34" s="267"/>
      <c r="J34" s="267"/>
      <c r="K34" s="267"/>
      <c r="L34" s="267"/>
    </row>
    <row r="35" spans="1:14" s="16" customFormat="1" ht="5.0999999999999996" customHeight="1">
      <c r="A35" s="11"/>
      <c r="B35" s="12"/>
      <c r="C35" s="231"/>
      <c r="D35" s="232"/>
      <c r="E35" s="232"/>
      <c r="F35" s="233"/>
      <c r="G35" s="18"/>
      <c r="H35" s="18"/>
      <c r="I35" s="18"/>
      <c r="J35" s="18"/>
      <c r="K35" s="18"/>
      <c r="L35" s="18"/>
      <c r="M35" s="18"/>
      <c r="N35" s="18"/>
    </row>
    <row r="36" spans="1:14" s="16" customFormat="1" ht="12.75">
      <c r="A36" s="11"/>
      <c r="B36" s="12"/>
      <c r="C36" s="13"/>
      <c r="D36" s="230"/>
      <c r="E36" s="230"/>
      <c r="F36" s="14"/>
    </row>
    <row r="37" spans="1:14" s="16" customFormat="1" ht="12.75">
      <c r="A37" s="11"/>
      <c r="B37" s="12"/>
      <c r="C37" s="13"/>
      <c r="D37" s="230"/>
      <c r="E37" s="230"/>
      <c r="F37" s="14"/>
    </row>
    <row r="38" spans="1:14" s="16" customFormat="1" ht="12.75">
      <c r="A38" s="11"/>
      <c r="B38" s="12"/>
      <c r="C38" s="231"/>
      <c r="D38" s="35" t="s">
        <v>111</v>
      </c>
      <c r="E38" s="232"/>
      <c r="F38" s="233"/>
      <c r="G38" s="18"/>
      <c r="H38" s="35" t="s">
        <v>112</v>
      </c>
      <c r="I38" s="18"/>
      <c r="J38" s="18"/>
      <c r="K38" s="18"/>
      <c r="L38" s="18"/>
      <c r="M38" s="272" t="s">
        <v>109</v>
      </c>
      <c r="N38" s="272"/>
    </row>
    <row r="39" spans="1:14" s="16" customFormat="1" ht="5.0999999999999996" customHeight="1">
      <c r="A39" s="11"/>
      <c r="B39" s="12"/>
      <c r="C39" s="13"/>
      <c r="D39" s="230"/>
      <c r="E39" s="230"/>
      <c r="F39" s="14"/>
    </row>
    <row r="40" spans="1:14" s="16" customFormat="1" ht="12.75">
      <c r="A40" s="11"/>
      <c r="B40" s="12"/>
      <c r="C40" s="13"/>
      <c r="D40" s="267" t="s">
        <v>113</v>
      </c>
      <c r="E40" s="267"/>
      <c r="F40" s="267"/>
      <c r="G40" s="267"/>
      <c r="H40" s="267" t="s">
        <v>114</v>
      </c>
      <c r="I40" s="267"/>
      <c r="J40" s="267"/>
      <c r="K40" s="267"/>
      <c r="L40" s="267"/>
      <c r="M40" s="269" t="s">
        <v>305</v>
      </c>
      <c r="N40" s="269"/>
    </row>
    <row r="41" spans="1:14" s="16" customFormat="1" ht="5.0999999999999996" customHeight="1">
      <c r="A41" s="11"/>
      <c r="B41" s="12"/>
      <c r="C41" s="13"/>
      <c r="D41" s="230"/>
      <c r="E41" s="230"/>
      <c r="F41" s="14"/>
    </row>
    <row r="42" spans="1:14" s="16" customFormat="1" ht="12.75">
      <c r="A42" s="11"/>
      <c r="B42" s="12"/>
      <c r="C42" s="13"/>
      <c r="D42" s="267" t="s">
        <v>115</v>
      </c>
      <c r="E42" s="267"/>
      <c r="F42" s="267"/>
      <c r="G42" s="267"/>
      <c r="H42" s="267" t="s">
        <v>116</v>
      </c>
      <c r="I42" s="267"/>
      <c r="J42" s="267"/>
      <c r="K42" s="267"/>
      <c r="L42" s="267"/>
      <c r="M42" s="269" t="s">
        <v>306</v>
      </c>
      <c r="N42" s="269"/>
    </row>
    <row r="43" spans="1:14" s="16" customFormat="1" ht="5.0999999999999996" customHeight="1">
      <c r="A43" s="11"/>
      <c r="B43" s="12"/>
      <c r="C43" s="13"/>
      <c r="D43" s="230"/>
      <c r="E43" s="230"/>
      <c r="F43" s="14"/>
    </row>
    <row r="44" spans="1:14" s="16" customFormat="1" ht="12.75">
      <c r="A44" s="11"/>
      <c r="B44" s="12"/>
      <c r="C44" s="13"/>
      <c r="D44" s="267" t="s">
        <v>117</v>
      </c>
      <c r="E44" s="267"/>
      <c r="F44" s="267"/>
      <c r="G44" s="267"/>
      <c r="H44" s="267" t="s">
        <v>118</v>
      </c>
      <c r="I44" s="267"/>
      <c r="J44" s="267"/>
      <c r="K44" s="267"/>
      <c r="L44" s="267"/>
      <c r="M44" s="269" t="s">
        <v>119</v>
      </c>
      <c r="N44" s="269"/>
    </row>
    <row r="45" spans="1:14" s="16" customFormat="1" ht="5.0999999999999996" customHeight="1">
      <c r="A45" s="11"/>
      <c r="B45" s="12"/>
      <c r="C45" s="13"/>
      <c r="D45" s="230"/>
      <c r="E45" s="230"/>
      <c r="F45" s="14"/>
    </row>
    <row r="46" spans="1:14" s="16" customFormat="1" ht="12.75">
      <c r="A46" s="11"/>
      <c r="B46" s="12"/>
      <c r="C46" s="13"/>
      <c r="D46" s="267" t="s">
        <v>120</v>
      </c>
      <c r="E46" s="267"/>
      <c r="F46" s="267"/>
      <c r="G46" s="267"/>
      <c r="H46" s="267" t="s">
        <v>121</v>
      </c>
      <c r="I46" s="267"/>
      <c r="J46" s="267"/>
      <c r="K46" s="267"/>
      <c r="L46" s="267"/>
      <c r="M46" s="268" t="s">
        <v>52</v>
      </c>
      <c r="N46" s="268"/>
    </row>
    <row r="47" spans="1:14" s="16" customFormat="1" ht="5.0999999999999996" customHeight="1">
      <c r="A47" s="11"/>
      <c r="B47" s="12"/>
      <c r="C47" s="13"/>
      <c r="D47" s="230"/>
      <c r="E47" s="230"/>
      <c r="F47" s="14"/>
    </row>
    <row r="48" spans="1:14" s="16" customFormat="1" ht="12.75">
      <c r="A48" s="11"/>
      <c r="B48" s="12"/>
      <c r="C48" s="13"/>
      <c r="D48" s="267" t="s">
        <v>122</v>
      </c>
      <c r="E48" s="267"/>
      <c r="F48" s="267"/>
      <c r="G48" s="267"/>
      <c r="H48" s="267" t="s">
        <v>123</v>
      </c>
      <c r="I48" s="267"/>
      <c r="J48" s="267"/>
      <c r="K48" s="267"/>
      <c r="L48" s="267"/>
      <c r="M48" s="268" t="s">
        <v>54</v>
      </c>
      <c r="N48" s="268"/>
    </row>
    <row r="49" spans="1:14" s="16" customFormat="1" ht="5.0999999999999996" customHeight="1">
      <c r="A49" s="11"/>
      <c r="B49" s="12"/>
      <c r="C49" s="13"/>
      <c r="D49" s="230"/>
      <c r="E49" s="230"/>
      <c r="F49" s="14"/>
    </row>
    <row r="50" spans="1:14" s="16" customFormat="1" ht="12.75">
      <c r="A50" s="11"/>
      <c r="B50" s="12"/>
      <c r="C50" s="13"/>
      <c r="D50" s="267" t="s">
        <v>124</v>
      </c>
      <c r="E50" s="267"/>
      <c r="F50" s="267"/>
      <c r="G50" s="267"/>
      <c r="H50" s="267" t="s">
        <v>307</v>
      </c>
      <c r="I50" s="267"/>
      <c r="J50" s="267"/>
      <c r="K50" s="267"/>
      <c r="L50" s="267"/>
      <c r="M50" s="268" t="s">
        <v>103</v>
      </c>
      <c r="N50" s="268"/>
    </row>
    <row r="51" spans="1:14" s="16" customFormat="1" ht="5.0999999999999996" customHeight="1">
      <c r="A51" s="11"/>
      <c r="B51" s="12"/>
      <c r="C51" s="231"/>
      <c r="D51" s="232"/>
      <c r="E51" s="232"/>
      <c r="F51" s="233"/>
      <c r="G51" s="18"/>
      <c r="H51" s="18"/>
      <c r="I51" s="18"/>
      <c r="J51" s="18"/>
      <c r="K51" s="18"/>
      <c r="L51" s="18"/>
      <c r="M51" s="18"/>
      <c r="N51" s="18"/>
    </row>
    <row r="52" spans="1:14" s="16" customFormat="1" ht="12.75">
      <c r="A52" s="11"/>
      <c r="B52" s="12"/>
      <c r="C52" s="13"/>
      <c r="D52" s="230"/>
      <c r="E52" s="230"/>
      <c r="F52" s="14"/>
    </row>
    <row r="53" spans="1:14" s="16" customFormat="1" ht="12.75">
      <c r="A53" s="11"/>
      <c r="B53" s="12"/>
      <c r="C53" s="13"/>
      <c r="D53" s="230"/>
      <c r="E53" s="230"/>
      <c r="F53" s="14"/>
    </row>
    <row r="54" spans="1:14" s="16" customFormat="1" ht="12.75">
      <c r="A54" s="11"/>
      <c r="B54" s="33" t="s">
        <v>125</v>
      </c>
      <c r="C54" s="13"/>
      <c r="D54" s="230"/>
      <c r="E54" s="230"/>
      <c r="F54" s="14"/>
    </row>
    <row r="55" spans="1:14" s="16" customFormat="1" ht="12.75">
      <c r="A55" s="11"/>
      <c r="B55" s="12"/>
      <c r="C55" s="13"/>
      <c r="D55" s="230"/>
      <c r="E55" s="230"/>
      <c r="F55" s="14"/>
    </row>
    <row r="56" spans="1:14" s="16" customFormat="1" ht="12.75">
      <c r="A56" s="11"/>
      <c r="B56" s="12"/>
      <c r="C56" s="231"/>
      <c r="D56" s="35" t="s">
        <v>308</v>
      </c>
      <c r="E56" s="232"/>
      <c r="F56" s="233"/>
      <c r="G56" s="18"/>
      <c r="H56" s="35" t="s">
        <v>126</v>
      </c>
      <c r="I56" s="18"/>
      <c r="J56" s="18"/>
      <c r="K56" s="18"/>
      <c r="L56" s="18"/>
      <c r="M56" s="272" t="s">
        <v>309</v>
      </c>
      <c r="N56" s="272"/>
    </row>
    <row r="57" spans="1:14" s="16" customFormat="1" ht="5.0999999999999996" customHeight="1">
      <c r="A57" s="11"/>
      <c r="B57" s="12"/>
      <c r="C57" s="13"/>
      <c r="D57" s="230"/>
      <c r="E57" s="230"/>
      <c r="F57" s="14"/>
    </row>
    <row r="58" spans="1:14" s="16" customFormat="1" ht="12.75">
      <c r="A58" s="11"/>
      <c r="B58" s="12"/>
      <c r="C58" s="13"/>
      <c r="D58" s="267" t="s">
        <v>310</v>
      </c>
      <c r="E58" s="267"/>
      <c r="F58" s="267"/>
      <c r="G58" s="267"/>
      <c r="H58" s="267" t="s">
        <v>127</v>
      </c>
      <c r="I58" s="267"/>
      <c r="J58" s="267"/>
      <c r="K58" s="267"/>
      <c r="L58" s="267"/>
      <c r="M58" s="281" t="s">
        <v>311</v>
      </c>
      <c r="N58" s="281"/>
    </row>
    <row r="59" spans="1:14" s="16" customFormat="1" ht="5.0999999999999996" customHeight="1">
      <c r="A59" s="11"/>
      <c r="B59" s="12"/>
      <c r="C59" s="13"/>
      <c r="D59" s="230"/>
      <c r="E59" s="230"/>
      <c r="F59" s="14"/>
    </row>
    <row r="60" spans="1:14" s="16" customFormat="1" ht="12.75">
      <c r="A60" s="11"/>
      <c r="B60" s="12"/>
      <c r="C60" s="13"/>
      <c r="D60" s="267" t="s">
        <v>132</v>
      </c>
      <c r="E60" s="267"/>
      <c r="F60" s="267"/>
      <c r="G60" s="267"/>
      <c r="H60" s="267" t="s">
        <v>133</v>
      </c>
      <c r="I60" s="267"/>
      <c r="J60" s="267"/>
      <c r="K60" s="267"/>
      <c r="L60" s="267"/>
      <c r="M60" s="281" t="s">
        <v>134</v>
      </c>
      <c r="N60" s="281"/>
    </row>
    <row r="61" spans="1:14" s="16" customFormat="1" ht="5.0999999999999996" customHeight="1">
      <c r="A61" s="11"/>
      <c r="B61" s="12"/>
      <c r="C61" s="234"/>
      <c r="D61" s="235"/>
      <c r="E61" s="235"/>
      <c r="F61" s="236"/>
      <c r="G61" s="20"/>
      <c r="H61" s="20"/>
      <c r="I61" s="20"/>
      <c r="J61" s="20"/>
      <c r="K61" s="20"/>
      <c r="L61" s="20"/>
      <c r="M61" s="20"/>
      <c r="N61" s="20"/>
    </row>
    <row r="62" spans="1:14" s="16" customFormat="1" ht="5.0999999999999996" customHeight="1">
      <c r="A62" s="11"/>
      <c r="B62" s="12"/>
      <c r="C62" s="13"/>
      <c r="D62" s="230"/>
      <c r="E62" s="230"/>
      <c r="F62" s="14"/>
    </row>
    <row r="63" spans="1:14" s="16" customFormat="1" ht="12.75">
      <c r="A63" s="11"/>
      <c r="B63" s="12"/>
      <c r="C63" s="13"/>
      <c r="D63" s="267" t="s">
        <v>128</v>
      </c>
      <c r="E63" s="267"/>
      <c r="F63" s="267"/>
      <c r="G63" s="267"/>
      <c r="H63" s="267" t="s">
        <v>129</v>
      </c>
      <c r="I63" s="267"/>
      <c r="J63" s="267"/>
      <c r="K63" s="267"/>
      <c r="L63" s="267"/>
      <c r="M63" s="281" t="s">
        <v>104</v>
      </c>
      <c r="N63" s="281"/>
    </row>
    <row r="64" spans="1:14" s="16" customFormat="1" ht="5.0999999999999996" customHeight="1">
      <c r="A64" s="11"/>
      <c r="B64" s="12"/>
      <c r="C64" s="13"/>
      <c r="D64" s="230"/>
      <c r="E64" s="230"/>
      <c r="F64" s="14"/>
    </row>
    <row r="65" spans="1:14" s="16" customFormat="1" ht="12.75">
      <c r="A65" s="11"/>
      <c r="B65" s="12"/>
      <c r="C65" s="13"/>
      <c r="D65" s="267" t="s">
        <v>130</v>
      </c>
      <c r="E65" s="267"/>
      <c r="F65" s="267"/>
      <c r="G65" s="267"/>
      <c r="H65" s="267" t="s">
        <v>131</v>
      </c>
      <c r="I65" s="267"/>
      <c r="J65" s="267"/>
      <c r="K65" s="267"/>
      <c r="L65" s="267"/>
      <c r="M65" s="281" t="s">
        <v>105</v>
      </c>
      <c r="N65" s="281"/>
    </row>
    <row r="66" spans="1:14" s="16" customFormat="1" ht="5.0999999999999996" customHeight="1">
      <c r="A66" s="11"/>
      <c r="B66" s="12"/>
      <c r="C66" s="234"/>
      <c r="D66" s="235"/>
      <c r="E66" s="235"/>
      <c r="F66" s="236"/>
      <c r="G66" s="20"/>
      <c r="H66" s="20"/>
      <c r="I66" s="20"/>
      <c r="J66" s="20"/>
      <c r="K66" s="20"/>
      <c r="L66" s="20"/>
      <c r="M66" s="20"/>
      <c r="N66" s="20"/>
    </row>
    <row r="67" spans="1:14" s="16" customFormat="1" ht="5.0999999999999996" customHeight="1">
      <c r="A67" s="11"/>
      <c r="B67" s="12"/>
      <c r="C67" s="13"/>
      <c r="D67" s="230"/>
      <c r="E67" s="230"/>
      <c r="F67" s="14"/>
    </row>
    <row r="68" spans="1:14" s="16" customFormat="1" ht="12.75">
      <c r="A68" s="11"/>
      <c r="B68" s="12"/>
      <c r="C68" s="13"/>
      <c r="D68" s="267" t="s">
        <v>312</v>
      </c>
      <c r="E68" s="267"/>
      <c r="F68" s="267"/>
      <c r="G68" s="267"/>
      <c r="H68" s="267" t="s">
        <v>138</v>
      </c>
      <c r="I68" s="267"/>
      <c r="J68" s="267"/>
      <c r="K68" s="267"/>
      <c r="L68" s="267"/>
      <c r="M68" s="281" t="s">
        <v>139</v>
      </c>
      <c r="N68" s="281"/>
    </row>
    <row r="69" spans="1:14" s="16" customFormat="1" ht="5.0999999999999996" customHeight="1">
      <c r="A69" s="11"/>
      <c r="B69" s="12"/>
      <c r="C69" s="13"/>
      <c r="D69" s="230"/>
      <c r="E69" s="230"/>
      <c r="F69" s="14"/>
    </row>
    <row r="70" spans="1:14" s="16" customFormat="1" ht="12.75">
      <c r="A70" s="11"/>
      <c r="B70" s="12"/>
      <c r="C70" s="13"/>
      <c r="D70" s="267" t="s">
        <v>313</v>
      </c>
      <c r="E70" s="267"/>
      <c r="F70" s="267"/>
      <c r="G70" s="267"/>
      <c r="H70" s="267" t="s">
        <v>314</v>
      </c>
      <c r="I70" s="267"/>
      <c r="J70" s="267"/>
      <c r="K70" s="267"/>
      <c r="L70" s="267"/>
      <c r="M70" s="281" t="s">
        <v>315</v>
      </c>
      <c r="N70" s="281"/>
    </row>
    <row r="71" spans="1:14" s="16" customFormat="1" ht="12.75">
      <c r="A71" s="11"/>
      <c r="B71" s="12"/>
      <c r="C71" s="13"/>
      <c r="D71" s="267"/>
      <c r="E71" s="267"/>
      <c r="F71" s="267"/>
      <c r="G71" s="267"/>
      <c r="H71" s="267"/>
      <c r="I71" s="267"/>
      <c r="J71" s="267"/>
      <c r="K71" s="267"/>
      <c r="L71" s="267"/>
    </row>
    <row r="72" spans="1:14" s="16" customFormat="1" ht="5.0999999999999996" customHeight="1">
      <c r="A72" s="11"/>
      <c r="B72" s="12"/>
      <c r="C72" s="234"/>
      <c r="D72" s="235"/>
      <c r="E72" s="235"/>
      <c r="F72" s="236"/>
      <c r="G72" s="20"/>
      <c r="H72" s="20"/>
      <c r="I72" s="20"/>
      <c r="J72" s="20"/>
      <c r="K72" s="20"/>
      <c r="L72" s="20"/>
      <c r="M72" s="20"/>
      <c r="N72" s="20"/>
    </row>
    <row r="73" spans="1:14" s="16" customFormat="1" ht="5.0999999999999996" customHeight="1">
      <c r="A73" s="11"/>
      <c r="B73" s="12"/>
      <c r="C73" s="13"/>
      <c r="D73" s="230"/>
      <c r="E73" s="230"/>
      <c r="F73" s="14"/>
    </row>
    <row r="74" spans="1:14" s="16" customFormat="1" ht="12.75">
      <c r="A74" s="11"/>
      <c r="B74" s="12"/>
      <c r="C74" s="13"/>
      <c r="D74" s="267" t="s">
        <v>140</v>
      </c>
      <c r="E74" s="267"/>
      <c r="F74" s="267"/>
      <c r="G74" s="267"/>
      <c r="H74" s="267" t="s">
        <v>141</v>
      </c>
      <c r="I74" s="267"/>
      <c r="J74" s="267"/>
      <c r="K74" s="267"/>
      <c r="L74" s="267"/>
      <c r="M74" s="281" t="s">
        <v>597</v>
      </c>
      <c r="N74" s="281"/>
    </row>
    <row r="75" spans="1:14" s="16" customFormat="1" ht="5.0999999999999996" customHeight="1">
      <c r="A75" s="11"/>
      <c r="B75" s="12"/>
      <c r="C75" s="13"/>
      <c r="D75" s="230"/>
      <c r="E75" s="230"/>
      <c r="F75" s="14"/>
    </row>
    <row r="76" spans="1:14" s="16" customFormat="1" ht="12.75">
      <c r="A76" s="11"/>
      <c r="B76" s="12"/>
      <c r="C76" s="13"/>
      <c r="D76" s="267" t="s">
        <v>316</v>
      </c>
      <c r="E76" s="267"/>
      <c r="F76" s="267"/>
      <c r="G76" s="267"/>
      <c r="H76" s="267" t="s">
        <v>317</v>
      </c>
      <c r="I76" s="267"/>
      <c r="J76" s="267"/>
      <c r="K76" s="267"/>
      <c r="L76" s="267"/>
      <c r="M76" s="281" t="s">
        <v>318</v>
      </c>
      <c r="N76" s="281"/>
    </row>
    <row r="77" spans="1:14" s="16" customFormat="1" ht="12.75">
      <c r="A77" s="11"/>
      <c r="B77" s="12"/>
      <c r="C77" s="13"/>
      <c r="D77" s="267"/>
      <c r="E77" s="267"/>
      <c r="F77" s="267"/>
      <c r="G77" s="267"/>
      <c r="H77" s="267"/>
      <c r="I77" s="267"/>
      <c r="J77" s="267"/>
      <c r="K77" s="267"/>
      <c r="L77" s="267"/>
    </row>
    <row r="78" spans="1:14" s="16" customFormat="1" ht="5.0999999999999996" customHeight="1">
      <c r="A78" s="11"/>
      <c r="B78" s="12"/>
      <c r="C78" s="234"/>
      <c r="D78" s="235"/>
      <c r="E78" s="235"/>
      <c r="F78" s="236"/>
      <c r="G78" s="20"/>
      <c r="H78" s="20"/>
      <c r="I78" s="20"/>
      <c r="J78" s="20"/>
      <c r="K78" s="20"/>
      <c r="L78" s="20"/>
      <c r="M78" s="20"/>
      <c r="N78" s="20"/>
    </row>
    <row r="79" spans="1:14" s="16" customFormat="1" ht="5.0999999999999996" customHeight="1">
      <c r="A79" s="11"/>
      <c r="B79" s="12"/>
      <c r="C79" s="13"/>
      <c r="D79" s="230"/>
      <c r="E79" s="230"/>
      <c r="F79" s="14"/>
    </row>
    <row r="80" spans="1:14" s="16" customFormat="1" ht="12.75">
      <c r="A80" s="11"/>
      <c r="B80" s="12"/>
      <c r="C80" s="13"/>
      <c r="D80" s="267" t="s">
        <v>319</v>
      </c>
      <c r="E80" s="267"/>
      <c r="F80" s="267"/>
      <c r="G80" s="267"/>
      <c r="H80" s="267" t="s">
        <v>320</v>
      </c>
      <c r="I80" s="267"/>
      <c r="J80" s="267"/>
      <c r="K80" s="267"/>
      <c r="L80" s="267"/>
      <c r="M80" s="281" t="s">
        <v>321</v>
      </c>
      <c r="N80" s="281"/>
    </row>
    <row r="81" spans="1:14" s="16" customFormat="1" ht="12.75">
      <c r="A81" s="11"/>
      <c r="B81" s="12"/>
      <c r="C81" s="13"/>
      <c r="D81" s="267"/>
      <c r="E81" s="267"/>
      <c r="F81" s="267"/>
      <c r="G81" s="267"/>
      <c r="H81" s="267"/>
      <c r="I81" s="267"/>
      <c r="J81" s="267"/>
      <c r="K81" s="267"/>
      <c r="L81" s="267"/>
    </row>
    <row r="82" spans="1:14" s="16" customFormat="1" ht="5.0999999999999996" customHeight="1">
      <c r="A82" s="11"/>
      <c r="B82" s="12"/>
      <c r="C82" s="234"/>
      <c r="D82" s="235"/>
      <c r="E82" s="235"/>
      <c r="F82" s="236"/>
      <c r="G82" s="20"/>
      <c r="H82" s="20"/>
      <c r="I82" s="20"/>
      <c r="J82" s="20"/>
      <c r="K82" s="20"/>
      <c r="L82" s="20"/>
      <c r="M82" s="20"/>
      <c r="N82" s="20"/>
    </row>
    <row r="83" spans="1:14" s="16" customFormat="1" ht="5.0999999999999996" customHeight="1">
      <c r="A83" s="11"/>
      <c r="B83" s="12"/>
      <c r="C83" s="13"/>
      <c r="D83" s="230"/>
      <c r="E83" s="230"/>
      <c r="F83" s="14"/>
    </row>
    <row r="84" spans="1:14" s="16" customFormat="1" ht="12.75">
      <c r="A84" s="11"/>
      <c r="B84" s="12"/>
      <c r="C84" s="13"/>
      <c r="D84" s="267" t="s">
        <v>135</v>
      </c>
      <c r="E84" s="267"/>
      <c r="F84" s="267"/>
      <c r="G84" s="267"/>
      <c r="H84" s="267" t="s">
        <v>136</v>
      </c>
      <c r="I84" s="267"/>
      <c r="J84" s="267"/>
      <c r="K84" s="267"/>
      <c r="L84" s="267"/>
      <c r="M84" s="281" t="s">
        <v>137</v>
      </c>
      <c r="N84" s="281"/>
    </row>
    <row r="85" spans="1:14" s="16" customFormat="1" ht="5.0999999999999996" customHeight="1">
      <c r="A85" s="11"/>
      <c r="B85" s="12"/>
      <c r="C85" s="234"/>
      <c r="D85" s="235"/>
      <c r="E85" s="235"/>
      <c r="F85" s="236"/>
      <c r="G85" s="20"/>
      <c r="H85" s="20"/>
      <c r="I85" s="20"/>
      <c r="J85" s="20"/>
      <c r="K85" s="20"/>
      <c r="L85" s="20"/>
      <c r="M85" s="20"/>
      <c r="N85" s="20"/>
    </row>
    <row r="86" spans="1:14" s="16" customFormat="1" ht="5.0999999999999996" customHeight="1">
      <c r="A86" s="11"/>
      <c r="B86" s="12"/>
      <c r="C86" s="13"/>
      <c r="D86" s="230"/>
      <c r="E86" s="230"/>
      <c r="F86" s="14"/>
    </row>
    <row r="87" spans="1:14" s="16" customFormat="1" ht="12.75">
      <c r="A87" s="11"/>
      <c r="B87" s="12"/>
      <c r="C87" s="13"/>
      <c r="D87" s="267" t="s">
        <v>142</v>
      </c>
      <c r="E87" s="267"/>
      <c r="F87" s="267"/>
      <c r="G87" s="267"/>
      <c r="H87" s="267" t="s">
        <v>143</v>
      </c>
      <c r="I87" s="267"/>
      <c r="J87" s="267"/>
      <c r="K87" s="267"/>
      <c r="L87" s="267"/>
      <c r="M87" s="281" t="s">
        <v>144</v>
      </c>
      <c r="N87" s="281"/>
    </row>
    <row r="88" spans="1:14" s="16" customFormat="1" ht="5.0999999999999996" customHeight="1">
      <c r="A88" s="11"/>
      <c r="B88" s="12"/>
      <c r="C88" s="231"/>
      <c r="D88" s="232"/>
      <c r="E88" s="232"/>
      <c r="F88" s="233"/>
      <c r="G88" s="18"/>
      <c r="H88" s="18"/>
      <c r="I88" s="18"/>
      <c r="J88" s="18"/>
      <c r="K88" s="18"/>
      <c r="L88" s="18"/>
      <c r="M88" s="18"/>
      <c r="N88" s="18"/>
    </row>
    <row r="89" spans="1:14" s="16" customFormat="1" ht="5.0999999999999996" customHeight="1">
      <c r="A89" s="11"/>
      <c r="B89" s="12"/>
      <c r="C89" s="13"/>
      <c r="D89" s="230"/>
      <c r="E89" s="230"/>
      <c r="F89" s="14"/>
    </row>
    <row r="90" spans="1:14" s="16" customFormat="1" ht="12.75">
      <c r="A90" s="11"/>
      <c r="B90" s="12"/>
      <c r="C90" s="13"/>
      <c r="D90" s="267" t="s">
        <v>145</v>
      </c>
      <c r="E90" s="267"/>
      <c r="F90" s="267"/>
      <c r="G90" s="267"/>
      <c r="H90" s="267" t="s">
        <v>322</v>
      </c>
      <c r="I90" s="267"/>
      <c r="J90" s="267"/>
      <c r="K90" s="267"/>
      <c r="L90" s="267"/>
      <c r="M90" s="281" t="s">
        <v>146</v>
      </c>
      <c r="N90" s="281"/>
    </row>
    <row r="91" spans="1:14" s="16" customFormat="1" ht="12.75">
      <c r="A91" s="11"/>
      <c r="B91" s="12"/>
      <c r="C91" s="13"/>
      <c r="D91" s="267"/>
      <c r="E91" s="267"/>
      <c r="F91" s="267"/>
      <c r="G91" s="267"/>
      <c r="H91" s="267"/>
      <c r="I91" s="267"/>
      <c r="J91" s="267"/>
      <c r="K91" s="267"/>
      <c r="L91" s="267"/>
    </row>
    <row r="92" spans="1:14" s="16" customFormat="1" ht="5.0999999999999996" customHeight="1">
      <c r="A92" s="11"/>
      <c r="B92" s="12"/>
      <c r="C92" s="13"/>
      <c r="D92" s="230"/>
      <c r="E92" s="230"/>
      <c r="F92" s="14"/>
    </row>
    <row r="93" spans="1:14" s="16" customFormat="1" ht="12.75">
      <c r="A93" s="11"/>
      <c r="B93" s="12"/>
      <c r="C93" s="13"/>
      <c r="D93" s="267" t="s">
        <v>147</v>
      </c>
      <c r="E93" s="267"/>
      <c r="F93" s="267"/>
      <c r="G93" s="267"/>
      <c r="H93" s="267" t="s">
        <v>323</v>
      </c>
      <c r="I93" s="267"/>
      <c r="J93" s="267"/>
      <c r="K93" s="267"/>
      <c r="L93" s="267"/>
      <c r="M93" s="281" t="s">
        <v>148</v>
      </c>
      <c r="N93" s="281"/>
    </row>
    <row r="94" spans="1:14" s="16" customFormat="1" ht="12.75">
      <c r="A94" s="11"/>
      <c r="B94" s="12"/>
      <c r="C94" s="13"/>
      <c r="D94" s="267"/>
      <c r="E94" s="267"/>
      <c r="F94" s="267"/>
      <c r="G94" s="267"/>
      <c r="H94" s="267"/>
      <c r="I94" s="267"/>
      <c r="J94" s="267"/>
      <c r="K94" s="267"/>
      <c r="L94" s="267"/>
    </row>
    <row r="95" spans="1:14" s="16" customFormat="1" ht="5.0999999999999996" customHeight="1">
      <c r="A95" s="11"/>
      <c r="B95" s="12"/>
      <c r="C95" s="234"/>
      <c r="D95" s="235"/>
      <c r="E95" s="235"/>
      <c r="F95" s="236"/>
      <c r="G95" s="20"/>
      <c r="H95" s="20"/>
      <c r="I95" s="20"/>
      <c r="J95" s="20"/>
      <c r="K95" s="20"/>
      <c r="L95" s="20"/>
      <c r="M95" s="20"/>
      <c r="N95" s="20"/>
    </row>
    <row r="96" spans="1:14" s="16" customFormat="1" ht="5.0999999999999996" customHeight="1">
      <c r="A96" s="11"/>
      <c r="B96" s="12"/>
      <c r="C96" s="13"/>
      <c r="D96" s="230"/>
      <c r="E96" s="230"/>
      <c r="F96" s="14"/>
    </row>
    <row r="97" spans="1:14" s="16" customFormat="1" ht="12.75">
      <c r="A97" s="11"/>
      <c r="B97" s="12"/>
      <c r="C97" s="13"/>
      <c r="D97" s="267" t="s">
        <v>590</v>
      </c>
      <c r="E97" s="267"/>
      <c r="F97" s="267"/>
      <c r="G97" s="267"/>
      <c r="H97" s="267" t="s">
        <v>591</v>
      </c>
      <c r="I97" s="267"/>
      <c r="J97" s="267"/>
      <c r="K97" s="267"/>
      <c r="L97" s="267"/>
      <c r="M97" s="281" t="s">
        <v>592</v>
      </c>
      <c r="N97" s="281"/>
    </row>
    <row r="98" spans="1:14" s="16" customFormat="1" ht="12.75">
      <c r="A98" s="11"/>
      <c r="B98" s="12"/>
      <c r="C98" s="13"/>
      <c r="D98" s="267"/>
      <c r="E98" s="267"/>
      <c r="F98" s="267"/>
      <c r="G98" s="267"/>
      <c r="H98" s="267"/>
      <c r="I98" s="267"/>
      <c r="J98" s="267"/>
      <c r="K98" s="267"/>
      <c r="L98" s="267"/>
    </row>
    <row r="99" spans="1:14" s="16" customFormat="1" ht="5.0999999999999996" customHeight="1">
      <c r="A99" s="11"/>
      <c r="B99" s="12"/>
      <c r="C99" s="231"/>
      <c r="D99" s="232"/>
      <c r="E99" s="232"/>
      <c r="F99" s="233"/>
      <c r="G99" s="18"/>
      <c r="H99" s="18"/>
      <c r="I99" s="18"/>
      <c r="J99" s="18"/>
      <c r="K99" s="18"/>
      <c r="L99" s="18"/>
      <c r="M99" s="18"/>
      <c r="N99" s="18"/>
    </row>
    <row r="100" spans="1:14" s="16" customFormat="1" ht="12.75">
      <c r="A100" s="11"/>
      <c r="B100" s="12"/>
      <c r="C100" s="13"/>
      <c r="D100" s="230"/>
      <c r="E100" s="230"/>
      <c r="F100" s="14"/>
    </row>
    <row r="101" spans="1:14" s="16" customFormat="1" ht="12.75">
      <c r="A101" s="11"/>
      <c r="B101" s="12"/>
      <c r="C101" s="26" t="s">
        <v>593</v>
      </c>
      <c r="D101" s="230"/>
      <c r="E101" s="230"/>
      <c r="F101" s="14"/>
    </row>
    <row r="102" spans="1:14" s="16" customFormat="1" ht="12.75">
      <c r="A102" s="11"/>
      <c r="B102" s="12"/>
      <c r="C102" s="36" t="s">
        <v>324</v>
      </c>
      <c r="D102" s="230"/>
      <c r="E102" s="230"/>
      <c r="F102" s="14"/>
    </row>
    <row r="103" spans="1:14" s="16" customFormat="1" ht="12.75">
      <c r="A103" s="11"/>
      <c r="B103" s="12"/>
      <c r="C103" s="36" t="s">
        <v>594</v>
      </c>
      <c r="D103" s="230"/>
      <c r="E103" s="230"/>
      <c r="F103" s="14"/>
    </row>
    <row r="104" spans="1:14" s="16" customFormat="1" ht="12.75">
      <c r="A104" s="11"/>
      <c r="B104" s="12"/>
      <c r="C104" s="13"/>
      <c r="D104" s="230"/>
      <c r="E104" s="230"/>
      <c r="F104" s="14"/>
    </row>
    <row r="105" spans="1:14" s="16" customFormat="1" ht="12.75">
      <c r="A105" s="11"/>
      <c r="B105" s="12"/>
      <c r="C105" s="13"/>
      <c r="D105" s="230"/>
      <c r="E105" s="230"/>
      <c r="F105" s="14"/>
    </row>
    <row r="106" spans="1:14" s="16" customFormat="1" ht="12.75">
      <c r="A106" s="11"/>
      <c r="B106" s="33" t="s">
        <v>149</v>
      </c>
      <c r="C106" s="13"/>
      <c r="D106" s="230"/>
      <c r="E106" s="230"/>
      <c r="F106" s="14"/>
    </row>
    <row r="107" spans="1:14" s="16" customFormat="1" ht="12.75">
      <c r="A107" s="11"/>
      <c r="B107" s="12"/>
      <c r="C107" s="13"/>
      <c r="D107" s="230"/>
      <c r="E107" s="230"/>
      <c r="F107" s="14"/>
    </row>
    <row r="108" spans="1:14" s="16" customFormat="1" ht="12.75">
      <c r="A108" s="11"/>
      <c r="B108" s="12"/>
      <c r="C108" s="231"/>
      <c r="D108" s="35" t="s">
        <v>150</v>
      </c>
      <c r="E108" s="232"/>
      <c r="F108" s="233"/>
      <c r="G108" s="18"/>
      <c r="H108" s="35" t="s">
        <v>151</v>
      </c>
      <c r="I108" s="18"/>
      <c r="J108" s="18"/>
      <c r="K108" s="18"/>
      <c r="L108" s="18"/>
      <c r="M108" s="272" t="s">
        <v>152</v>
      </c>
      <c r="N108" s="272"/>
    </row>
    <row r="109" spans="1:14" s="16" customFormat="1" ht="5.0999999999999996" customHeight="1">
      <c r="A109" s="11"/>
      <c r="B109" s="12"/>
      <c r="C109" s="13"/>
      <c r="D109" s="230"/>
      <c r="E109" s="230"/>
      <c r="F109" s="14"/>
    </row>
    <row r="110" spans="1:14" s="16" customFormat="1" ht="12.75">
      <c r="A110" s="11"/>
      <c r="B110" s="12"/>
      <c r="C110" s="13"/>
      <c r="D110" s="282" t="s">
        <v>153</v>
      </c>
      <c r="E110" s="282"/>
      <c r="F110" s="282"/>
      <c r="G110" s="282"/>
      <c r="H110" s="282" t="s">
        <v>154</v>
      </c>
      <c r="I110" s="282"/>
      <c r="J110" s="282"/>
      <c r="K110" s="282"/>
      <c r="L110" s="282"/>
      <c r="M110" s="283" t="s">
        <v>155</v>
      </c>
      <c r="N110" s="283"/>
    </row>
    <row r="111" spans="1:14" s="16" customFormat="1" ht="5.0999999999999996" customHeight="1">
      <c r="A111" s="11"/>
      <c r="B111" s="12"/>
      <c r="C111" s="13"/>
      <c r="D111" s="230"/>
      <c r="E111" s="230"/>
      <c r="F111" s="14"/>
    </row>
    <row r="112" spans="1:14" s="16" customFormat="1" ht="12.75">
      <c r="A112" s="11"/>
      <c r="B112" s="12"/>
      <c r="C112" s="13"/>
      <c r="D112" s="282" t="s">
        <v>156</v>
      </c>
      <c r="E112" s="282"/>
      <c r="F112" s="282"/>
      <c r="G112" s="282"/>
      <c r="H112" s="282" t="s">
        <v>157</v>
      </c>
      <c r="I112" s="282"/>
      <c r="J112" s="282"/>
      <c r="K112" s="282"/>
      <c r="L112" s="282"/>
      <c r="M112" s="283" t="s">
        <v>158</v>
      </c>
      <c r="N112" s="283"/>
    </row>
    <row r="113" spans="1:14" s="16" customFormat="1" ht="5.0999999999999996" customHeight="1">
      <c r="A113" s="11"/>
      <c r="B113" s="12"/>
      <c r="C113" s="13"/>
      <c r="D113" s="230"/>
      <c r="E113" s="230"/>
      <c r="F113" s="14"/>
    </row>
    <row r="114" spans="1:14" s="16" customFormat="1" ht="12.75">
      <c r="A114" s="11"/>
      <c r="B114" s="12"/>
      <c r="C114" s="13"/>
      <c r="D114" s="282" t="s">
        <v>159</v>
      </c>
      <c r="E114" s="282"/>
      <c r="F114" s="282"/>
      <c r="G114" s="282"/>
      <c r="H114" s="282" t="s">
        <v>160</v>
      </c>
      <c r="I114" s="282"/>
      <c r="J114" s="282"/>
      <c r="K114" s="282"/>
      <c r="L114" s="282"/>
      <c r="M114" s="283" t="s">
        <v>161</v>
      </c>
      <c r="N114" s="283"/>
    </row>
    <row r="115" spans="1:14" s="16" customFormat="1" ht="5.0999999999999996" customHeight="1">
      <c r="A115" s="11"/>
      <c r="B115" s="12"/>
      <c r="C115" s="13"/>
      <c r="D115" s="230"/>
      <c r="E115" s="230"/>
      <c r="F115" s="14"/>
    </row>
    <row r="116" spans="1:14" s="16" customFormat="1" ht="12.75">
      <c r="A116" s="11"/>
      <c r="B116" s="12"/>
      <c r="C116" s="13"/>
      <c r="D116" s="282" t="s">
        <v>162</v>
      </c>
      <c r="E116" s="282"/>
      <c r="F116" s="282"/>
      <c r="G116" s="282"/>
      <c r="H116" s="282" t="s">
        <v>163</v>
      </c>
      <c r="I116" s="282"/>
      <c r="J116" s="282"/>
      <c r="K116" s="282"/>
      <c r="L116" s="282"/>
      <c r="M116" s="283" t="s">
        <v>164</v>
      </c>
      <c r="N116" s="283"/>
    </row>
    <row r="117" spans="1:14" s="16" customFormat="1" ht="5.0999999999999996" customHeight="1">
      <c r="A117" s="11"/>
      <c r="B117" s="12"/>
      <c r="C117" s="13"/>
      <c r="D117" s="230"/>
      <c r="E117" s="230"/>
      <c r="F117" s="14"/>
    </row>
    <row r="118" spans="1:14" s="16" customFormat="1" ht="12.75">
      <c r="A118" s="11"/>
      <c r="B118" s="12"/>
      <c r="C118" s="13"/>
      <c r="D118" s="282" t="s">
        <v>165</v>
      </c>
      <c r="E118" s="282"/>
      <c r="F118" s="282"/>
      <c r="G118" s="282"/>
      <c r="H118" s="282" t="s">
        <v>166</v>
      </c>
      <c r="I118" s="282"/>
      <c r="J118" s="282"/>
      <c r="K118" s="282"/>
      <c r="L118" s="282"/>
      <c r="M118" s="283" t="s">
        <v>167</v>
      </c>
      <c r="N118" s="283"/>
    </row>
    <row r="119" spans="1:14" s="16" customFormat="1" ht="5.0999999999999996" customHeight="1">
      <c r="A119" s="11"/>
      <c r="B119" s="12"/>
      <c r="C119" s="13"/>
      <c r="D119" s="230"/>
      <c r="E119" s="230"/>
      <c r="F119" s="14"/>
    </row>
    <row r="120" spans="1:14" s="16" customFormat="1" ht="12.75">
      <c r="A120" s="11"/>
      <c r="B120" s="12"/>
      <c r="C120" s="13"/>
      <c r="D120" s="282" t="s">
        <v>319</v>
      </c>
      <c r="E120" s="282"/>
      <c r="F120" s="282"/>
      <c r="G120" s="282"/>
      <c r="H120" s="282" t="s">
        <v>168</v>
      </c>
      <c r="I120" s="282"/>
      <c r="J120" s="282"/>
      <c r="K120" s="282"/>
      <c r="L120" s="282"/>
      <c r="M120" s="283" t="s">
        <v>169</v>
      </c>
      <c r="N120" s="283"/>
    </row>
    <row r="121" spans="1:14" s="16" customFormat="1" ht="5.0999999999999996" customHeight="1">
      <c r="A121" s="11"/>
      <c r="B121" s="12"/>
      <c r="C121" s="13"/>
      <c r="D121" s="230"/>
      <c r="E121" s="230"/>
      <c r="F121" s="14"/>
    </row>
    <row r="122" spans="1:14" s="16" customFormat="1" ht="12.75">
      <c r="A122" s="11"/>
      <c r="B122" s="12"/>
      <c r="C122" s="13"/>
      <c r="D122" s="282" t="s">
        <v>110</v>
      </c>
      <c r="E122" s="282"/>
      <c r="F122" s="282"/>
      <c r="G122" s="282"/>
      <c r="H122" s="282" t="s">
        <v>170</v>
      </c>
      <c r="I122" s="282"/>
      <c r="J122" s="282"/>
      <c r="K122" s="282"/>
      <c r="L122" s="282"/>
      <c r="M122" s="283" t="s">
        <v>171</v>
      </c>
      <c r="N122" s="283"/>
    </row>
    <row r="123" spans="1:14" s="16" customFormat="1" ht="5.0999999999999996" customHeight="1">
      <c r="A123" s="11"/>
      <c r="B123" s="12"/>
      <c r="C123" s="13"/>
      <c r="D123" s="230"/>
      <c r="E123" s="230"/>
      <c r="F123" s="14"/>
    </row>
    <row r="124" spans="1:14" s="16" customFormat="1" ht="12.75">
      <c r="A124" s="11"/>
      <c r="B124" s="12"/>
      <c r="C124" s="13"/>
      <c r="D124" s="282" t="s">
        <v>325</v>
      </c>
      <c r="E124" s="282"/>
      <c r="F124" s="282"/>
      <c r="G124" s="282"/>
      <c r="H124" s="282" t="s">
        <v>172</v>
      </c>
      <c r="I124" s="282"/>
      <c r="J124" s="282"/>
      <c r="K124" s="282"/>
      <c r="L124" s="282"/>
      <c r="M124" s="283" t="s">
        <v>173</v>
      </c>
      <c r="N124" s="283"/>
    </row>
    <row r="125" spans="1:14" s="16" customFormat="1" ht="5.0999999999999996" customHeight="1">
      <c r="A125" s="11"/>
      <c r="B125" s="12"/>
      <c r="C125" s="13"/>
      <c r="D125" s="230"/>
      <c r="E125" s="230"/>
      <c r="F125" s="14"/>
    </row>
    <row r="126" spans="1:14" s="16" customFormat="1" ht="12.75">
      <c r="A126" s="11"/>
      <c r="B126" s="12"/>
      <c r="C126" s="13"/>
      <c r="D126" s="282" t="s">
        <v>326</v>
      </c>
      <c r="E126" s="282"/>
      <c r="F126" s="282"/>
      <c r="G126" s="282"/>
      <c r="H126" s="282" t="s">
        <v>174</v>
      </c>
      <c r="I126" s="282"/>
      <c r="J126" s="282"/>
      <c r="K126" s="282"/>
      <c r="L126" s="282"/>
      <c r="M126" s="283" t="s">
        <v>175</v>
      </c>
      <c r="N126" s="283"/>
    </row>
    <row r="127" spans="1:14" s="16" customFormat="1" ht="5.0999999999999996" customHeight="1">
      <c r="A127" s="11"/>
      <c r="B127" s="12"/>
      <c r="C127" s="13"/>
      <c r="D127" s="230"/>
      <c r="E127" s="230"/>
      <c r="F127" s="14"/>
    </row>
    <row r="128" spans="1:14" s="16" customFormat="1" ht="12.75">
      <c r="A128" s="11"/>
      <c r="B128" s="12"/>
      <c r="C128" s="13"/>
      <c r="D128" s="282" t="s">
        <v>327</v>
      </c>
      <c r="E128" s="282"/>
      <c r="F128" s="282"/>
      <c r="G128" s="282"/>
      <c r="H128" s="282" t="s">
        <v>176</v>
      </c>
      <c r="I128" s="282"/>
      <c r="J128" s="282"/>
      <c r="K128" s="282"/>
      <c r="L128" s="282"/>
      <c r="M128" s="283" t="s">
        <v>177</v>
      </c>
      <c r="N128" s="283"/>
    </row>
    <row r="129" spans="1:14" s="16" customFormat="1" ht="5.0999999999999996" customHeight="1">
      <c r="A129" s="11"/>
      <c r="B129" s="12"/>
      <c r="C129" s="13"/>
      <c r="D129" s="230"/>
      <c r="E129" s="230"/>
      <c r="F129" s="14"/>
    </row>
    <row r="130" spans="1:14" s="16" customFormat="1" ht="12.75">
      <c r="A130" s="11"/>
      <c r="B130" s="12"/>
      <c r="C130" s="13"/>
      <c r="D130" s="282" t="s">
        <v>328</v>
      </c>
      <c r="E130" s="282"/>
      <c r="F130" s="282"/>
      <c r="G130" s="282"/>
      <c r="H130" s="282" t="s">
        <v>178</v>
      </c>
      <c r="I130" s="282"/>
      <c r="J130" s="282"/>
      <c r="K130" s="282"/>
      <c r="L130" s="282"/>
      <c r="M130" s="283" t="s">
        <v>179</v>
      </c>
      <c r="N130" s="283"/>
    </row>
    <row r="131" spans="1:14" s="16" customFormat="1" ht="5.0999999999999996" customHeight="1">
      <c r="A131" s="11"/>
      <c r="B131" s="12"/>
      <c r="C131" s="13"/>
      <c r="D131" s="230"/>
      <c r="E131" s="230"/>
      <c r="F131" s="14"/>
    </row>
    <row r="132" spans="1:14" s="16" customFormat="1" ht="12.75">
      <c r="A132" s="11"/>
      <c r="B132" s="12"/>
      <c r="C132" s="13"/>
      <c r="D132" s="282" t="s">
        <v>329</v>
      </c>
      <c r="E132" s="282"/>
      <c r="F132" s="282"/>
      <c r="G132" s="282"/>
      <c r="H132" s="282" t="s">
        <v>180</v>
      </c>
      <c r="I132" s="282"/>
      <c r="J132" s="282"/>
      <c r="K132" s="282"/>
      <c r="L132" s="282"/>
      <c r="M132" s="283" t="s">
        <v>181</v>
      </c>
      <c r="N132" s="283"/>
    </row>
    <row r="133" spans="1:14" s="16" customFormat="1" ht="5.0999999999999996" customHeight="1">
      <c r="A133" s="11"/>
      <c r="B133" s="12"/>
      <c r="C133" s="13"/>
      <c r="D133" s="230"/>
      <c r="E133" s="230"/>
      <c r="F133" s="14"/>
    </row>
    <row r="134" spans="1:14" s="16" customFormat="1" ht="12.75">
      <c r="A134" s="11"/>
      <c r="B134" s="12"/>
      <c r="C134" s="13"/>
      <c r="D134" s="282" t="s">
        <v>330</v>
      </c>
      <c r="E134" s="282"/>
      <c r="F134" s="282"/>
      <c r="G134" s="282"/>
      <c r="H134" s="282" t="s">
        <v>182</v>
      </c>
      <c r="I134" s="282"/>
      <c r="J134" s="282"/>
      <c r="K134" s="282"/>
      <c r="L134" s="282"/>
      <c r="M134" s="283" t="s">
        <v>183</v>
      </c>
      <c r="N134" s="283"/>
    </row>
    <row r="135" spans="1:14" s="16" customFormat="1" ht="5.0999999999999996" customHeight="1">
      <c r="A135" s="11"/>
      <c r="B135" s="12"/>
      <c r="C135" s="13"/>
      <c r="D135" s="230"/>
      <c r="E135" s="230"/>
      <c r="F135" s="14"/>
    </row>
    <row r="136" spans="1:14" s="16" customFormat="1" ht="12.75">
      <c r="A136" s="11"/>
      <c r="B136" s="12"/>
      <c r="C136" s="13"/>
      <c r="D136" s="282" t="s">
        <v>184</v>
      </c>
      <c r="E136" s="282"/>
      <c r="F136" s="282"/>
      <c r="G136" s="282"/>
      <c r="H136" s="282" t="s">
        <v>185</v>
      </c>
      <c r="I136" s="282"/>
      <c r="J136" s="282"/>
      <c r="K136" s="282"/>
      <c r="L136" s="282"/>
      <c r="M136" s="283" t="s">
        <v>186</v>
      </c>
      <c r="N136" s="283"/>
    </row>
    <row r="137" spans="1:14" s="16" customFormat="1" ht="5.0999999999999996" customHeight="1">
      <c r="A137" s="11"/>
      <c r="B137" s="12"/>
      <c r="C137" s="231"/>
      <c r="D137" s="232"/>
      <c r="E137" s="232"/>
      <c r="F137" s="233"/>
      <c r="G137" s="18"/>
      <c r="H137" s="18"/>
      <c r="I137" s="18"/>
      <c r="J137" s="18"/>
      <c r="K137" s="18"/>
      <c r="L137" s="18"/>
      <c r="M137" s="18"/>
      <c r="N137" s="18"/>
    </row>
  </sheetData>
  <mergeCells count="131">
    <mergeCell ref="D134:G134"/>
    <mergeCell ref="H134:L134"/>
    <mergeCell ref="M134:N134"/>
    <mergeCell ref="D136:G136"/>
    <mergeCell ref="H136:L136"/>
    <mergeCell ref="M136:N136"/>
    <mergeCell ref="D128:G128"/>
    <mergeCell ref="H128:L128"/>
    <mergeCell ref="M128:N128"/>
    <mergeCell ref="D130:G130"/>
    <mergeCell ref="H130:L130"/>
    <mergeCell ref="M130:N130"/>
    <mergeCell ref="D132:G132"/>
    <mergeCell ref="H132:L132"/>
    <mergeCell ref="M132:N132"/>
    <mergeCell ref="D122:G122"/>
    <mergeCell ref="H122:L122"/>
    <mergeCell ref="M122:N122"/>
    <mergeCell ref="D124:G124"/>
    <mergeCell ref="H124:L124"/>
    <mergeCell ref="M124:N124"/>
    <mergeCell ref="D126:G126"/>
    <mergeCell ref="H126:L126"/>
    <mergeCell ref="M126:N126"/>
    <mergeCell ref="D116:G116"/>
    <mergeCell ref="H116:L116"/>
    <mergeCell ref="M116:N116"/>
    <mergeCell ref="D118:G118"/>
    <mergeCell ref="H118:L118"/>
    <mergeCell ref="M118:N118"/>
    <mergeCell ref="D120:G120"/>
    <mergeCell ref="H120:L120"/>
    <mergeCell ref="M120:N120"/>
    <mergeCell ref="M108:N108"/>
    <mergeCell ref="D110:G110"/>
    <mergeCell ref="H110:L110"/>
    <mergeCell ref="M110:N110"/>
    <mergeCell ref="D112:G112"/>
    <mergeCell ref="H112:L112"/>
    <mergeCell ref="M112:N112"/>
    <mergeCell ref="D114:G114"/>
    <mergeCell ref="H114:L114"/>
    <mergeCell ref="M114:N114"/>
    <mergeCell ref="M93:N93"/>
    <mergeCell ref="D93:G94"/>
    <mergeCell ref="H93:L94"/>
    <mergeCell ref="M97:N97"/>
    <mergeCell ref="D97:G98"/>
    <mergeCell ref="H97:L98"/>
    <mergeCell ref="D84:G84"/>
    <mergeCell ref="H84:L84"/>
    <mergeCell ref="M84:N84"/>
    <mergeCell ref="D87:G87"/>
    <mergeCell ref="H87:L87"/>
    <mergeCell ref="M87:N87"/>
    <mergeCell ref="M90:N90"/>
    <mergeCell ref="D90:G91"/>
    <mergeCell ref="H90:L91"/>
    <mergeCell ref="D74:G74"/>
    <mergeCell ref="H74:L74"/>
    <mergeCell ref="M74:N74"/>
    <mergeCell ref="M76:N76"/>
    <mergeCell ref="D76:G77"/>
    <mergeCell ref="H76:L77"/>
    <mergeCell ref="M80:N80"/>
    <mergeCell ref="D80:G81"/>
    <mergeCell ref="H80:L81"/>
    <mergeCell ref="D65:G65"/>
    <mergeCell ref="H65:L65"/>
    <mergeCell ref="M65:N65"/>
    <mergeCell ref="D68:G68"/>
    <mergeCell ref="H68:L68"/>
    <mergeCell ref="M68:N68"/>
    <mergeCell ref="M70:N70"/>
    <mergeCell ref="D70:G71"/>
    <mergeCell ref="H70:L71"/>
    <mergeCell ref="M56:N56"/>
    <mergeCell ref="D58:G58"/>
    <mergeCell ref="H58:L58"/>
    <mergeCell ref="M58:N58"/>
    <mergeCell ref="D60:G60"/>
    <mergeCell ref="H60:L60"/>
    <mergeCell ref="M60:N60"/>
    <mergeCell ref="D63:G63"/>
    <mergeCell ref="H63:L63"/>
    <mergeCell ref="M63:N63"/>
    <mergeCell ref="D15:G15"/>
    <mergeCell ref="H15:L15"/>
    <mergeCell ref="M15:N15"/>
    <mergeCell ref="M17:N17"/>
    <mergeCell ref="D17:G18"/>
    <mergeCell ref="H17:L18"/>
    <mergeCell ref="B3:F3"/>
    <mergeCell ref="M9:N9"/>
    <mergeCell ref="D13:G13"/>
    <mergeCell ref="H13:L13"/>
    <mergeCell ref="M13:N13"/>
    <mergeCell ref="D28:G28"/>
    <mergeCell ref="H28:L28"/>
    <mergeCell ref="M28:N28"/>
    <mergeCell ref="M30:N30"/>
    <mergeCell ref="D30:G31"/>
    <mergeCell ref="H30:L31"/>
    <mergeCell ref="M20:N20"/>
    <mergeCell ref="M23:N23"/>
    <mergeCell ref="D23:G24"/>
    <mergeCell ref="H23:L24"/>
    <mergeCell ref="D20:G20"/>
    <mergeCell ref="H20:L20"/>
    <mergeCell ref="D40:G40"/>
    <mergeCell ref="H40:L40"/>
    <mergeCell ref="M40:N40"/>
    <mergeCell ref="D42:G42"/>
    <mergeCell ref="H42:L42"/>
    <mergeCell ref="M42:N42"/>
    <mergeCell ref="M33:N33"/>
    <mergeCell ref="D33:G34"/>
    <mergeCell ref="H33:L34"/>
    <mergeCell ref="M38:N38"/>
    <mergeCell ref="D48:G48"/>
    <mergeCell ref="H48:L48"/>
    <mergeCell ref="M48:N48"/>
    <mergeCell ref="D50:G50"/>
    <mergeCell ref="H50:L50"/>
    <mergeCell ref="M50:N50"/>
    <mergeCell ref="D44:G44"/>
    <mergeCell ref="H44:L44"/>
    <mergeCell ref="M44:N44"/>
    <mergeCell ref="D46:G46"/>
    <mergeCell ref="H46:L46"/>
    <mergeCell ref="M46:N46"/>
  </mergeCells>
  <hyperlinks>
    <hyperlink ref="B3" location="HL_Home" tooltip="Go to Table of Contents" display="HL_Home"/>
    <hyperlink ref="A4" location="$B$5" tooltip="Go to Top of Sheet" display="$B$5"/>
    <hyperlink ref="B4" location="HL_Sheet_Main_6" tooltip="Go to Previous Sheet" display="HL_Sheet_Main_6"/>
    <hyperlink ref="C4" location="HL_Sheet_Main_11" tooltip="Go to Next Sheet" display="HL_Sheet_Main_11"/>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80" orientation="landscape" r:id="rId1"/>
  <headerFooter>
    <oddFooter>&amp;L&amp;F
&amp;A
Printed: &amp;T on &amp;D&amp;CPage &amp;P of &amp;N&amp;R&amp;G</oddFooter>
  </headerFooter>
  <rowBreaks count="2" manualBreakCount="2">
    <brk id="53" min="1" max="13" man="1"/>
    <brk id="105" min="1" max="13" man="1"/>
  </rowBreaks>
  <legacyDrawingHF r:id="rId2"/>
</worksheet>
</file>

<file path=xl/worksheets/sheet9.xml><?xml version="1.0" encoding="utf-8"?>
<worksheet xmlns="http://schemas.openxmlformats.org/spreadsheetml/2006/main" xmlns:r="http://schemas.openxmlformats.org/officeDocument/2006/relationships">
  <sheetPr codeName="Sheet8">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397</v>
      </c>
    </row>
    <row r="10" spans="3:7" ht="16.5">
      <c r="C10" s="28" t="s">
        <v>200</v>
      </c>
    </row>
    <row r="11" spans="3:7" ht="15">
      <c r="C11" s="2" t="str">
        <f>Model_Name</f>
        <v>SMA 8. Calculation Formulae - Best Practice Model Example</v>
      </c>
    </row>
    <row r="12" spans="3:7">
      <c r="C12" s="245" t="s">
        <v>49</v>
      </c>
      <c r="D12" s="245"/>
      <c r="E12" s="245"/>
      <c r="F12" s="245"/>
      <c r="G12" s="245"/>
    </row>
    <row r="13" spans="3:7" ht="12.75">
      <c r="C13" s="12" t="s">
        <v>54</v>
      </c>
      <c r="D13" s="13" t="s">
        <v>103</v>
      </c>
    </row>
    <row r="17" spans="3:3">
      <c r="C17" s="26" t="s">
        <v>467</v>
      </c>
    </row>
    <row r="18" spans="3:3">
      <c r="C18" s="27" t="s">
        <v>387</v>
      </c>
    </row>
    <row r="19" spans="3:3">
      <c r="C19" s="27"/>
    </row>
    <row r="20" spans="3:3">
      <c r="C20" s="27"/>
    </row>
  </sheetData>
  <mergeCells count="1">
    <mergeCell ref="C12:G12"/>
  </mergeCells>
  <hyperlinks>
    <hyperlink ref="C12" location="HL_Home" tooltip="Go to Table of Contents" display="HL_Home"/>
    <hyperlink ref="C13" location="HL_Sheet_Main_7" tooltip="Go to Previous Sheet" display="HL_Sheet_Main_7"/>
    <hyperlink ref="D13" location="HL_Sheet_Main_4" tooltip="Go to Next Sheet" display="HL_Sheet_Main_4"/>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139</vt:i4>
      </vt:variant>
    </vt:vector>
  </HeadingPairs>
  <TitlesOfParts>
    <vt:vector size="168" baseType="lpstr">
      <vt:lpstr>Cover</vt:lpstr>
      <vt:lpstr>Contents</vt:lpstr>
      <vt:lpstr>Overview_SC</vt:lpstr>
      <vt:lpstr>Notes_SSC</vt:lpstr>
      <vt:lpstr>Notes_BO</vt:lpstr>
      <vt:lpstr>Op_Formula_P_MS</vt:lpstr>
      <vt:lpstr>Keys_SSC</vt:lpstr>
      <vt:lpstr>Keys_BO</vt:lpstr>
      <vt:lpstr>Assumptions_SC</vt:lpstr>
      <vt:lpstr>TS_Ass_SSC</vt:lpstr>
      <vt:lpstr>TS_BA</vt:lpstr>
      <vt:lpstr>Fcast_Ass_SSC</vt:lpstr>
      <vt:lpstr>Fcast_TA</vt:lpstr>
      <vt:lpstr>Base_OP_SC</vt:lpstr>
      <vt:lpstr>Fcast_OP_SSC</vt:lpstr>
      <vt:lpstr>Fcast_TO</vt:lpstr>
      <vt:lpstr>FS_OP_SSC</vt:lpstr>
      <vt:lpstr>IS_TO</vt:lpstr>
      <vt:lpstr>BS_TO</vt:lpstr>
      <vt:lpstr>CFS_TO</vt:lpstr>
      <vt:lpstr>Dashboards_SSC</vt:lpstr>
      <vt:lpstr>BS_Sum_P_MS</vt:lpstr>
      <vt:lpstr>Appendices_SC</vt:lpstr>
      <vt:lpstr>Checks_SSC</vt:lpstr>
      <vt:lpstr>Checks_BO</vt:lpstr>
      <vt:lpstr>LU_SSC</vt:lpstr>
      <vt:lpstr>TS_LU</vt:lpstr>
      <vt:lpstr>Capital_LU</vt:lpstr>
      <vt:lpstr>Dashboards_LU</vt:lpstr>
      <vt:lpstr>Alt_Chks_Msg</vt:lpstr>
      <vt:lpstr>Alt_Chks_Ttl_Areas</vt:lpstr>
      <vt:lpstr>Annual</vt:lpstr>
      <vt:lpstr>Billion</vt:lpstr>
      <vt:lpstr>Billions</vt:lpstr>
      <vt:lpstr>CA_Alt_Chks</vt:lpstr>
      <vt:lpstr>CA_Alt_Chks_Area_Names</vt:lpstr>
      <vt:lpstr>CA_Alt_Chks_Flags</vt:lpstr>
      <vt:lpstr>CA_Alt_Chks_Inc</vt:lpstr>
      <vt:lpstr>CA_Err_Chks</vt:lpstr>
      <vt:lpstr>CA_Err_Chks_Area_Names</vt:lpstr>
      <vt:lpstr>CA_Err_Chks_Flags</vt:lpstr>
      <vt:lpstr>CA_Err_Chks_Inc</vt:lpstr>
      <vt:lpstr>CA_Sens_Chks</vt:lpstr>
      <vt:lpstr>CA_Sens_Chks_Area_Names</vt:lpstr>
      <vt:lpstr>CA_Sens_Chks_Flags</vt:lpstr>
      <vt:lpstr>CA_Sens_Chks_Inc</vt:lpstr>
      <vt:lpstr>CB_Alt_Chks_Show_Msg</vt:lpstr>
      <vt:lpstr>CB_Eq_Ord_Cash_Limit_Div</vt:lpstr>
      <vt:lpstr>CB_Eq_Ord_Inc_Open_RP_In_NPAT</vt:lpstr>
      <vt:lpstr>CB_Err_Chks_Show_Msg</vt:lpstr>
      <vt:lpstr>CB_Sens_Chks_Show_Msg</vt:lpstr>
      <vt:lpstr>CB_TS_Show_Hist_Fcast_Pers</vt:lpstr>
      <vt:lpstr>Currency</vt:lpstr>
      <vt:lpstr>DD_Eq_Ord_Div_Meth</vt:lpstr>
      <vt:lpstr>DD_TS_Data_Term_Basis</vt:lpstr>
      <vt:lpstr>DD_TS_Denom</vt:lpstr>
      <vt:lpstr>DD_TS_Fin_YE_Day</vt:lpstr>
      <vt:lpstr>DD_TS_Fin_YE_Mth</vt:lpstr>
      <vt:lpstr>Err_Chks_Msg</vt:lpstr>
      <vt:lpstr>Err_Chks_Ttl_Areas</vt:lpstr>
      <vt:lpstr>Half_Yr_Name</vt:lpstr>
      <vt:lpstr>Halves_In_Yr</vt:lpstr>
      <vt:lpstr>HL_Alt_Chk</vt:lpstr>
      <vt:lpstr>HL_Err_Chk</vt:lpstr>
      <vt:lpstr>HL_Home</vt:lpstr>
      <vt:lpstr>HL_Sens_Chk</vt:lpstr>
      <vt:lpstr>Hundred</vt:lpstr>
      <vt:lpstr>LI_Tax_Base_Nom_Opex_Base_Nom_Cat_1</vt:lpstr>
      <vt:lpstr>LO_BS_Base_Nom_OP_Cash_Open</vt:lpstr>
      <vt:lpstr>LU_Dashboard_Selected_Period</vt:lpstr>
      <vt:lpstr>LU_Data_Term_Basis</vt:lpstr>
      <vt:lpstr>LU_Denom</vt:lpstr>
      <vt:lpstr>LU_Eq_Ord_Div_Meth</vt:lpstr>
      <vt:lpstr>LU_Mth_Days</vt:lpstr>
      <vt:lpstr>LU_Mth_Names</vt:lpstr>
      <vt:lpstr>LU_Period_Type_Names</vt:lpstr>
      <vt:lpstr>LU_Periodicity</vt:lpstr>
      <vt:lpstr>LU_Pers_In_Yr</vt:lpstr>
      <vt:lpstr>Million</vt:lpstr>
      <vt:lpstr>Millions</vt:lpstr>
      <vt:lpstr>Model_Name</vt:lpstr>
      <vt:lpstr>Mth_Name</vt:lpstr>
      <vt:lpstr>Mthly</vt:lpstr>
      <vt:lpstr>Mths_In_Yr</vt:lpstr>
      <vt:lpstr>Appendices_SC!Print_Area</vt:lpstr>
      <vt:lpstr>Assumptions_SC!Print_Area</vt:lpstr>
      <vt:lpstr>Base_OP_SC!Print_Area</vt:lpstr>
      <vt:lpstr>BS_Sum_P_MS!Print_Area</vt:lpstr>
      <vt:lpstr>BS_TO!Print_Area</vt:lpstr>
      <vt:lpstr>Capital_LU!Print_Area</vt:lpstr>
      <vt:lpstr>CFS_TO!Print_Area</vt:lpstr>
      <vt:lpstr>Checks_BO!Print_Area</vt:lpstr>
      <vt:lpstr>Checks_SSC!Print_Area</vt:lpstr>
      <vt:lpstr>Contents!Print_Area</vt:lpstr>
      <vt:lpstr>Cover!Print_Area</vt:lpstr>
      <vt:lpstr>Dashboards_LU!Print_Area</vt:lpstr>
      <vt:lpstr>Dashboards_SSC!Print_Area</vt:lpstr>
      <vt:lpstr>Fcast_Ass_SSC!Print_Area</vt:lpstr>
      <vt:lpstr>Fcast_OP_SSC!Print_Area</vt:lpstr>
      <vt:lpstr>Fcast_TA!Print_Area</vt:lpstr>
      <vt:lpstr>Fcast_TO!Print_Area</vt:lpstr>
      <vt:lpstr>FS_OP_SSC!Print_Area</vt:lpstr>
      <vt:lpstr>IS_TO!Print_Area</vt:lpstr>
      <vt:lpstr>Keys_BO!Print_Area</vt:lpstr>
      <vt:lpstr>Keys_SSC!Print_Area</vt:lpstr>
      <vt:lpstr>LU_SSC!Print_Area</vt:lpstr>
      <vt:lpstr>Notes_BO!Print_Area</vt:lpstr>
      <vt:lpstr>Notes_SSC!Print_Area</vt:lpstr>
      <vt:lpstr>Op_Formula_P_MS!Print_Area</vt:lpstr>
      <vt:lpstr>Overview_SC!Print_Area</vt:lpstr>
      <vt:lpstr>TS_Ass_SSC!Print_Area</vt:lpstr>
      <vt:lpstr>TS_BA!Print_Area</vt:lpstr>
      <vt:lpstr>TS_LU!Print_Area</vt:lpstr>
      <vt:lpstr>BS_TO!Print_Titles</vt:lpstr>
      <vt:lpstr>CFS_TO!Print_Titles</vt:lpstr>
      <vt:lpstr>Checks_BO!Print_Titles</vt:lpstr>
      <vt:lpstr>Contents!Print_Titles</vt:lpstr>
      <vt:lpstr>Fcast_TA!Print_Titles</vt:lpstr>
      <vt:lpstr>Fcast_TO!Print_Titles</vt:lpstr>
      <vt:lpstr>IS_TO!Print_Titles</vt:lpstr>
      <vt:lpstr>Keys_BO!Print_Titles</vt:lpstr>
      <vt:lpstr>Notes_BO!Print_Titles</vt:lpstr>
      <vt:lpstr>TS_BA!Print_Titles</vt:lpstr>
      <vt:lpstr>TS_LU!Print_Titles</vt:lpstr>
      <vt:lpstr>Qtr_Name</vt:lpstr>
      <vt:lpstr>Qtrly</vt:lpstr>
      <vt:lpstr>Qtrs_In_Yr</vt:lpstr>
      <vt:lpstr>Semi_Annual</vt:lpstr>
      <vt:lpstr>Sens_Chks_Msg</vt:lpstr>
      <vt:lpstr>Sens_Chks_Ttl_Areas</vt:lpstr>
      <vt:lpstr>Ten</vt:lpstr>
      <vt:lpstr>Thousand</vt:lpstr>
      <vt:lpstr>Thousands</vt:lpstr>
      <vt:lpstr>TS</vt:lpstr>
      <vt:lpstr>TS_Actual_Per_Title</vt:lpstr>
      <vt:lpstr>TS_Actual_Pers</vt:lpstr>
      <vt:lpstr>TS_Budget_Per_Title</vt:lpstr>
      <vt:lpstr>TS_Budget_Pers</vt:lpstr>
      <vt:lpstr>TS_Data_End_Date</vt:lpstr>
      <vt:lpstr>TS_Data_Final_Stub</vt:lpstr>
      <vt:lpstr>TS_Data_Full_Pers</vt:lpstr>
      <vt:lpstr>TS_Data_Pers_Ass</vt:lpstr>
      <vt:lpstr>TS_Data_Total_Pers</vt:lpstr>
      <vt:lpstr>TS_Denom_Label</vt:lpstr>
      <vt:lpstr>TS_Fcast_Per_Title</vt:lpstr>
      <vt:lpstr>TS_Mth_End</vt:lpstr>
      <vt:lpstr>TS_Mths_In_Per</vt:lpstr>
      <vt:lpstr>TS_Per_1_End_Date</vt:lpstr>
      <vt:lpstr>TS_Per_1_FY_End_Date</vt:lpstr>
      <vt:lpstr>TS_Per_1_FY_Start_Date</vt:lpstr>
      <vt:lpstr>TS_Per_1_Number</vt:lpstr>
      <vt:lpstr>TS_Per_1_Start_Date</vt:lpstr>
      <vt:lpstr>TS_Per_Type_Name</vt:lpstr>
      <vt:lpstr>TS_Per_Type_Prefix</vt:lpstr>
      <vt:lpstr>TS_Periodicity</vt:lpstr>
      <vt:lpstr>TS_Pers_In_Yr</vt:lpstr>
      <vt:lpstr>TS_Proj_Per_1_End_Date</vt:lpstr>
      <vt:lpstr>TS_Proj_Per_1_FY_End_Date</vt:lpstr>
      <vt:lpstr>TS_Proj_Per_1_FY_Start_Date</vt:lpstr>
      <vt:lpstr>TS_Proj_Per_1_Number</vt:lpstr>
      <vt:lpstr>TS_Proj_Per_1_Start_Date</vt:lpstr>
      <vt:lpstr>TS_Proj_Start_Date</vt:lpstr>
      <vt:lpstr>TS_Proj_Start_Date_Ass</vt:lpstr>
      <vt:lpstr>TS_Start_Date</vt:lpstr>
      <vt:lpstr>TS_Std_Pers</vt:lpstr>
      <vt:lpstr>TS_Title</vt:lpstr>
      <vt:lpstr>Yr_Name</vt:lpstr>
      <vt:lpstr>Yrs_In_Yr</vt:lpstr>
    </vt:vector>
  </TitlesOfParts>
  <Company>BPM Analytical Empowerment Pty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Hutchens</dc:creator>
  <cp:lastModifiedBy>Best Practice Modelling</cp:lastModifiedBy>
  <cp:lastPrinted>2010-06-16T05:51:10Z</cp:lastPrinted>
  <dcterms:created xsi:type="dcterms:W3CDTF">2006-03-09T22:44:34Z</dcterms:created>
  <dcterms:modified xsi:type="dcterms:W3CDTF">2010-11-30T01:15:53Z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XRCK">
    <vt:lpwstr>53|11757824,1|0,52|6780672,51|4204747,49|6697881,55|7929855,11|12632256,56|16777215</vt:lpwstr>
  </property>
  <property fmtid="{D5CDD505-2E9C-101B-9397-08002B2CF9AE}" pid="3" name="TBXBSCK">
    <vt:lpwstr>CO-4142|-4142/COC-4142|-4142/CS1-4142|-4142/S1S2-4142|-4142/S2BAR6|-4142/BATAR6|-4142/TABO-4142|-4142/BOTO-4142|-4142/TOLU-4142|-4142/LUMS-4142|-4142/MSCH-4142|-4142/CH</vt:lpwstr>
  </property>
</Properties>
</file>