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scaeu-my.sharepoint.com/personal/edouard_peron_essca_eu/Documents/"/>
    </mc:Choice>
  </mc:AlternateContent>
  <xr:revisionPtr revIDLastSave="0" documentId="8_{C885CD72-F1CA-4FE2-9096-B8917CE82B6A}" xr6:coauthVersionLast="45" xr6:coauthVersionMax="45" xr10:uidLastSave="{00000000-0000-0000-0000-000000000000}"/>
  <bookViews>
    <workbookView xWindow="-5070" yWindow="4785" windowWidth="17985" windowHeight="9330" firstSheet="2" activeTab="2" xr2:uid="{6678CFEF-423E-4282-A93C-6B190A037435}"/>
  </bookViews>
  <sheets>
    <sheet name="hypothesis " sheetId="4" r:id="rId1"/>
    <sheet name="Cash outflow" sheetId="5" r:id="rId2"/>
    <sheet name="cash flows" sheetId="1" r:id="rId3"/>
    <sheet name="depreciation" sheetId="3" r:id="rId4"/>
    <sheet name="revpar analysis" sheetId="2" r:id="rId5"/>
    <sheet name="Panel 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R11" i="2"/>
  <c r="T10" i="2"/>
  <c r="S16" i="2"/>
  <c r="F47" i="1"/>
  <c r="G47" i="1"/>
  <c r="H47" i="1"/>
  <c r="I47" i="1"/>
  <c r="J47" i="1"/>
  <c r="K47" i="1"/>
  <c r="L47" i="1"/>
  <c r="M47" i="1"/>
  <c r="E47" i="1"/>
  <c r="H26" i="1"/>
  <c r="E41" i="1"/>
  <c r="F41" i="1"/>
  <c r="G41" i="1"/>
  <c r="H41" i="1"/>
  <c r="I41" i="1"/>
  <c r="J41" i="1"/>
  <c r="K41" i="1"/>
  <c r="L41" i="1"/>
  <c r="M41" i="1"/>
  <c r="D41" i="1"/>
  <c r="C9" i="1"/>
  <c r="E35" i="1"/>
  <c r="F35" i="1"/>
  <c r="G35" i="1"/>
  <c r="H35" i="1"/>
  <c r="I35" i="1"/>
  <c r="J35" i="1"/>
  <c r="K35" i="1"/>
  <c r="L35" i="1"/>
  <c r="M35" i="1"/>
  <c r="D35" i="1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I33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I31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I20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I19" i="3"/>
  <c r="H28" i="1"/>
  <c r="M26" i="1"/>
  <c r="L26" i="1"/>
  <c r="K26" i="1"/>
  <c r="D26" i="1"/>
  <c r="J26" i="1"/>
  <c r="C16" i="1"/>
  <c r="C17" i="1"/>
  <c r="C19" i="1"/>
  <c r="C15" i="1"/>
  <c r="C12" i="1"/>
  <c r="C13" i="1"/>
  <c r="C14" i="1"/>
  <c r="C11" i="1"/>
  <c r="C10" i="1"/>
  <c r="C20" i="1"/>
  <c r="C49" i="1" s="1"/>
  <c r="C51" i="1" s="1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I18" i="3"/>
  <c r="J17" i="3"/>
  <c r="I17" i="3"/>
  <c r="I26" i="1"/>
  <c r="I29" i="1" s="1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I16" i="3"/>
  <c r="G26" i="1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I12" i="3"/>
  <c r="I14" i="3"/>
  <c r="F26" i="1"/>
  <c r="E26" i="1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I13" i="3"/>
  <c r="P11" i="3"/>
  <c r="Q11" i="3"/>
  <c r="R11" i="3"/>
  <c r="S11" i="3"/>
  <c r="T11" i="3"/>
  <c r="U11" i="3"/>
  <c r="V11" i="3"/>
  <c r="W11" i="3"/>
  <c r="J11" i="3"/>
  <c r="K11" i="3"/>
  <c r="L11" i="3"/>
  <c r="M11" i="3"/>
  <c r="N11" i="3"/>
  <c r="O11" i="3"/>
  <c r="I11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I8" i="3"/>
  <c r="E20" i="2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I5" i="3"/>
  <c r="F20" i="2"/>
  <c r="G20" i="2" s="1"/>
  <c r="H20" i="2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D24" i="1"/>
  <c r="C29" i="4"/>
  <c r="R10" i="2"/>
  <c r="T11" i="2"/>
  <c r="T17" i="2" s="1"/>
  <c r="R12" i="2"/>
  <c r="T12" i="2" s="1"/>
  <c r="R13" i="2"/>
  <c r="T13" i="2" s="1"/>
  <c r="R14" i="2"/>
  <c r="T14" i="2" s="1"/>
  <c r="R15" i="2"/>
  <c r="T15" i="2" s="1"/>
  <c r="R9" i="2"/>
  <c r="E24" i="1"/>
  <c r="F24" i="1"/>
  <c r="G24" i="1"/>
  <c r="H24" i="1"/>
  <c r="I24" i="1"/>
  <c r="J24" i="1"/>
  <c r="K24" i="1"/>
  <c r="L24" i="1"/>
  <c r="M24" i="1"/>
  <c r="I28" i="1" l="1"/>
  <c r="I30" i="1"/>
  <c r="I31" i="1"/>
  <c r="I32" i="1"/>
  <c r="J28" i="1"/>
  <c r="J29" i="1"/>
  <c r="J30" i="1"/>
  <c r="J31" i="1"/>
  <c r="J32" i="1"/>
  <c r="D30" i="1"/>
  <c r="D28" i="1"/>
  <c r="K28" i="1"/>
  <c r="K29" i="1"/>
  <c r="K30" i="1"/>
  <c r="K31" i="1"/>
  <c r="K32" i="1"/>
  <c r="L28" i="1"/>
  <c r="L29" i="1"/>
  <c r="L30" i="1"/>
  <c r="L31" i="1"/>
  <c r="L32" i="1"/>
  <c r="M28" i="1"/>
  <c r="M29" i="1"/>
  <c r="M30" i="1"/>
  <c r="M31" i="1"/>
  <c r="M32" i="1"/>
  <c r="E28" i="1"/>
  <c r="E29" i="1"/>
  <c r="E30" i="1"/>
  <c r="E31" i="1"/>
  <c r="E32" i="1"/>
  <c r="F28" i="1"/>
  <c r="F29" i="1"/>
  <c r="F30" i="1"/>
  <c r="F31" i="1"/>
  <c r="F32" i="1"/>
  <c r="G32" i="1"/>
  <c r="G28" i="1"/>
  <c r="G29" i="1"/>
  <c r="G30" i="1"/>
  <c r="G31" i="1"/>
  <c r="D32" i="1"/>
  <c r="D31" i="1"/>
  <c r="D29" i="1"/>
  <c r="T9" i="2"/>
  <c r="R16" i="2"/>
  <c r="E37" i="1"/>
  <c r="F37" i="1"/>
  <c r="G37" i="1"/>
  <c r="I37" i="1"/>
  <c r="J37" i="1"/>
  <c r="K37" i="1"/>
  <c r="L37" i="1"/>
  <c r="M37" i="1"/>
  <c r="D37" i="1"/>
  <c r="E39" i="1"/>
  <c r="F39" i="1"/>
  <c r="G39" i="1"/>
  <c r="I39" i="1"/>
  <c r="J39" i="1"/>
  <c r="K39" i="1"/>
  <c r="L39" i="1"/>
  <c r="M39" i="1"/>
  <c r="D39" i="1"/>
  <c r="H39" i="1" l="1"/>
  <c r="H29" i="1"/>
  <c r="H30" i="1"/>
  <c r="H31" i="1"/>
  <c r="H32" i="1"/>
  <c r="E21" i="2"/>
  <c r="E22" i="2" s="1"/>
  <c r="E23" i="1" s="1"/>
  <c r="E25" i="1" s="1"/>
  <c r="E27" i="1" s="1"/>
  <c r="E33" i="1" s="1"/>
  <c r="F21" i="2"/>
  <c r="F22" i="2" s="1"/>
  <c r="F23" i="1" s="1"/>
  <c r="F25" i="1" s="1"/>
  <c r="F27" i="1" s="1"/>
  <c r="F33" i="1" s="1"/>
  <c r="G21" i="2"/>
  <c r="G22" i="2" s="1"/>
  <c r="G23" i="1" s="1"/>
  <c r="G25" i="1" s="1"/>
  <c r="G27" i="1" s="1"/>
  <c r="G33" i="1" s="1"/>
  <c r="H21" i="2"/>
  <c r="H22" i="2" s="1"/>
  <c r="H23" i="1" s="1"/>
  <c r="D21" i="2"/>
  <c r="D22" i="2" s="1"/>
  <c r="D23" i="1" s="1"/>
  <c r="D25" i="1" s="1"/>
  <c r="D27" i="1" s="1"/>
  <c r="D33" i="1" s="1"/>
  <c r="D42" i="1"/>
  <c r="D34" i="1"/>
  <c r="G42" i="1"/>
  <c r="G34" i="1"/>
  <c r="F42" i="1"/>
  <c r="F34" i="1"/>
  <c r="E42" i="1"/>
  <c r="E34" i="1"/>
  <c r="E4" i="1"/>
  <c r="H37" i="1" l="1"/>
  <c r="I23" i="1"/>
  <c r="H25" i="1"/>
  <c r="H27" i="1" s="1"/>
  <c r="H33" i="1" s="1"/>
  <c r="E43" i="1"/>
  <c r="E40" i="1"/>
  <c r="E38" i="1"/>
  <c r="E36" i="1"/>
  <c r="E44" i="1" s="1"/>
  <c r="F43" i="1"/>
  <c r="F40" i="1"/>
  <c r="F38" i="1"/>
  <c r="F36" i="1"/>
  <c r="F44" i="1" s="1"/>
  <c r="G43" i="1"/>
  <c r="G40" i="1"/>
  <c r="G38" i="1"/>
  <c r="G36" i="1"/>
  <c r="G44" i="1" s="1"/>
  <c r="D43" i="1"/>
  <c r="D40" i="1"/>
  <c r="D38" i="1"/>
  <c r="D36" i="1"/>
  <c r="D44" i="1" s="1"/>
  <c r="E45" i="1" l="1"/>
  <c r="D48" i="1"/>
  <c r="D49" i="1" s="1"/>
  <c r="G46" i="1"/>
  <c r="G48" i="1" s="1"/>
  <c r="G49" i="1" s="1"/>
  <c r="G51" i="1" s="1"/>
  <c r="F46" i="1"/>
  <c r="F48" i="1" s="1"/>
  <c r="F49" i="1" s="1"/>
  <c r="F51" i="1" s="1"/>
  <c r="E46" i="1"/>
  <c r="E48" i="1" s="1"/>
  <c r="E49" i="1" s="1"/>
  <c r="E51" i="1" s="1"/>
  <c r="H42" i="1"/>
  <c r="H34" i="1"/>
  <c r="J23" i="1"/>
  <c r="I25" i="1"/>
  <c r="I27" i="1" s="1"/>
  <c r="I33" i="1" s="1"/>
  <c r="D51" i="1" l="1"/>
  <c r="I42" i="1"/>
  <c r="I34" i="1"/>
  <c r="K23" i="1"/>
  <c r="K25" i="1" s="1"/>
  <c r="J25" i="1"/>
  <c r="J27" i="1" s="1"/>
  <c r="J33" i="1" s="1"/>
  <c r="H43" i="1"/>
  <c r="H40" i="1"/>
  <c r="H38" i="1"/>
  <c r="H36" i="1"/>
  <c r="H44" i="1" s="1"/>
  <c r="H46" i="1" l="1"/>
  <c r="H48" i="1" s="1"/>
  <c r="H49" i="1" s="1"/>
  <c r="J42" i="1"/>
  <c r="J34" i="1"/>
  <c r="K27" i="1"/>
  <c r="K33" i="1" s="1"/>
  <c r="L23" i="1"/>
  <c r="I43" i="1"/>
  <c r="I40" i="1"/>
  <c r="I38" i="1"/>
  <c r="I36" i="1"/>
  <c r="I44" i="1" s="1"/>
  <c r="H51" i="1" l="1"/>
  <c r="I46" i="1"/>
  <c r="I48" i="1" s="1"/>
  <c r="I49" i="1" s="1"/>
  <c r="L25" i="1"/>
  <c r="L27" i="1" s="1"/>
  <c r="L33" i="1" s="1"/>
  <c r="M23" i="1"/>
  <c r="M25" i="1" s="1"/>
  <c r="M27" i="1" s="1"/>
  <c r="M33" i="1" s="1"/>
  <c r="K42" i="1"/>
  <c r="K34" i="1"/>
  <c r="J43" i="1"/>
  <c r="J40" i="1"/>
  <c r="J38" i="1"/>
  <c r="J36" i="1"/>
  <c r="J44" i="1" s="1"/>
  <c r="I51" i="1" l="1"/>
  <c r="J46" i="1"/>
  <c r="J48" i="1" s="1"/>
  <c r="J49" i="1" s="1"/>
  <c r="K43" i="1"/>
  <c r="K40" i="1"/>
  <c r="K38" i="1"/>
  <c r="K36" i="1"/>
  <c r="K44" i="1" s="1"/>
  <c r="M42" i="1"/>
  <c r="M34" i="1"/>
  <c r="L42" i="1"/>
  <c r="L34" i="1"/>
  <c r="J51" i="1" l="1"/>
  <c r="K46" i="1"/>
  <c r="K48" i="1" s="1"/>
  <c r="K49" i="1" s="1"/>
  <c r="L43" i="1"/>
  <c r="L40" i="1"/>
  <c r="L38" i="1"/>
  <c r="L36" i="1"/>
  <c r="L44" i="1" s="1"/>
  <c r="M43" i="1"/>
  <c r="M40" i="1"/>
  <c r="M38" i="1"/>
  <c r="M36" i="1"/>
  <c r="M44" i="1" s="1"/>
  <c r="K51" i="1" l="1"/>
  <c r="M46" i="1"/>
  <c r="M48" i="1" s="1"/>
  <c r="M49" i="1" s="1"/>
  <c r="M51" i="1" s="1"/>
  <c r="L46" i="1"/>
  <c r="L48" i="1" s="1"/>
  <c r="L49" i="1" s="1"/>
  <c r="L51" i="1" l="1"/>
  <c r="C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tc={1A684066-9F24-47EC-AEFA-0DAAD7E3A2E3}</author>
    <author>tc={A21ED488-698A-4C05-8B00-91990DF779D5}</author>
  </authors>
  <commentList>
    <comment ref="E4" authorId="0" shapeId="0" xr:uid="{1A684066-9F24-47EC-AEFA-0DAAD7E3A2E3}">
      <text>
        <t>[Threaded comment]
Your version of Excel allows you to read this threaded comment; however, any edits to it will get removed if the file is opened in a newer version of Excel. Learn more: https://go.microsoft.com/fwlink/?linkid=870924
Comment:
    taking the mean occupancy rate between the last two years of the island</t>
      </text>
    </comment>
    <comment ref="E47" authorId="1" shapeId="0" xr:uid="{A21ED488-698A-4C05-8B00-91990DF779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depends on the value of the island 
</t>
      </text>
    </comment>
  </commentList>
</comments>
</file>

<file path=xl/sharedStrings.xml><?xml version="1.0" encoding="utf-8"?>
<sst xmlns="http://schemas.openxmlformats.org/spreadsheetml/2006/main" count="145" uniqueCount="104">
  <si>
    <t xml:space="preserve">personnal costs </t>
  </si>
  <si>
    <t xml:space="preserve">total revenue </t>
  </si>
  <si>
    <t xml:space="preserve">food and bereradge </t>
  </si>
  <si>
    <t xml:space="preserve">food and beveradges income </t>
  </si>
  <si>
    <t xml:space="preserve">cleaning expenses </t>
  </si>
  <si>
    <t xml:space="preserve">spa epxenses </t>
  </si>
  <si>
    <t xml:space="preserve">spa center </t>
  </si>
  <si>
    <t xml:space="preserve">maintenance costs </t>
  </si>
  <si>
    <t xml:space="preserve">insurance costs </t>
  </si>
  <si>
    <t xml:space="preserve">replacement cost </t>
  </si>
  <si>
    <t xml:space="preserve">tour operators </t>
  </si>
  <si>
    <t xml:space="preserve">management fees </t>
  </si>
  <si>
    <t xml:space="preserve">taxes </t>
  </si>
  <si>
    <t xml:space="preserve">propety tax </t>
  </si>
  <si>
    <t xml:space="preserve">value of island and premises </t>
  </si>
  <si>
    <t xml:space="preserve">income tax </t>
  </si>
  <si>
    <t>EBT</t>
  </si>
  <si>
    <t>YEARS</t>
  </si>
  <si>
    <t>Requirement ( construction et developpement )</t>
  </si>
  <si>
    <t>INVESTISSSEMENT HOTEL</t>
  </si>
  <si>
    <t xml:space="preserve">Electricity line 1KM + PREMISES </t>
  </si>
  <si>
    <t xml:space="preserve"> Water and sewage/drainage infrastructure</t>
  </si>
  <si>
    <t>Uplifting the landscape</t>
  </si>
  <si>
    <t>Telecommunications: landline – satellite systems</t>
  </si>
  <si>
    <t>Road ( pas forcément la premiere année)</t>
  </si>
  <si>
    <t>Restaurant 5 max</t>
  </si>
  <si>
    <t>Pool  3 max</t>
  </si>
  <si>
    <t>BAR - CAFE 4</t>
  </si>
  <si>
    <t>Special facilities and provisions</t>
  </si>
  <si>
    <t>Spa</t>
  </si>
  <si>
    <t>Cash outflow</t>
  </si>
  <si>
    <t>Expension (à choisir )</t>
  </si>
  <si>
    <t>floating dock of 45m length and 3m</t>
  </si>
  <si>
    <t>Helipad</t>
  </si>
  <si>
    <t xml:space="preserve"> forest area for horseback riding centre  </t>
  </si>
  <si>
    <t>Luxury casino</t>
  </si>
  <si>
    <t>Water park</t>
  </si>
  <si>
    <t xml:space="preserve">number of potencial beds </t>
  </si>
  <si>
    <t xml:space="preserve">price per night </t>
  </si>
  <si>
    <t xml:space="preserve">occupancy rate </t>
  </si>
  <si>
    <t xml:space="preserve">Req rate </t>
  </si>
  <si>
    <t xml:space="preserve">direct competitor </t>
  </si>
  <si>
    <t xml:space="preserve">mean price </t>
  </si>
  <si>
    <t xml:space="preserve">number of rooms analysisi </t>
  </si>
  <si>
    <t xml:space="preserve">assumption </t>
  </si>
  <si>
    <t xml:space="preserve">beds </t>
  </si>
  <si>
    <t xml:space="preserve">initial investment </t>
  </si>
  <si>
    <t xml:space="preserve">Spa </t>
  </si>
  <si>
    <t xml:space="preserve">Total initial investment </t>
  </si>
  <si>
    <t xml:space="preserve">Return on rooms </t>
  </si>
  <si>
    <t>REV par</t>
  </si>
  <si>
    <t xml:space="preserve">number of days of service </t>
  </si>
  <si>
    <t xml:space="preserve">Return </t>
  </si>
  <si>
    <t xml:space="preserve">number of rooms </t>
  </si>
  <si>
    <t>annual return</t>
  </si>
  <si>
    <t xml:space="preserve">other sources of return </t>
  </si>
  <si>
    <t xml:space="preserve">spa </t>
  </si>
  <si>
    <t xml:space="preserve">restaurant </t>
  </si>
  <si>
    <t>bar café</t>
  </si>
  <si>
    <t>mini bar</t>
  </si>
  <si>
    <t xml:space="preserve">room services </t>
  </si>
  <si>
    <t xml:space="preserve">miscellanous income </t>
  </si>
  <si>
    <t xml:space="preserve">Total return </t>
  </si>
  <si>
    <t xml:space="preserve">costs </t>
  </si>
  <si>
    <t xml:space="preserve">depreciation </t>
  </si>
  <si>
    <t xml:space="preserve">carried on losses </t>
  </si>
  <si>
    <t>income tax</t>
  </si>
  <si>
    <t>propety tax</t>
  </si>
  <si>
    <t xml:space="preserve">Income </t>
  </si>
  <si>
    <t xml:space="preserve">cf </t>
  </si>
  <si>
    <t>DCF</t>
  </si>
  <si>
    <t xml:space="preserve">NPV </t>
  </si>
  <si>
    <t xml:space="preserve">method </t>
  </si>
  <si>
    <t xml:space="preserve">straight line </t>
  </si>
  <si>
    <t xml:space="preserve">constructions </t>
  </si>
  <si>
    <t xml:space="preserve">mechanical / electric </t>
  </si>
  <si>
    <t xml:space="preserve">hotel equiptment </t>
  </si>
  <si>
    <t xml:space="preserve">Book Value </t>
  </si>
  <si>
    <t xml:space="preserve">outer space </t>
  </si>
  <si>
    <t xml:space="preserve">total depreciation </t>
  </si>
  <si>
    <t>Direct competition revpar (approx)</t>
  </si>
  <si>
    <t xml:space="preserve">double rooms </t>
  </si>
  <si>
    <t xml:space="preserve">junoir suites </t>
  </si>
  <si>
    <t xml:space="preserve">suites </t>
  </si>
  <si>
    <t xml:space="preserve">villas </t>
  </si>
  <si>
    <t xml:space="preserve">month </t>
  </si>
  <si>
    <t xml:space="preserve">double </t>
  </si>
  <si>
    <t xml:space="preserve">junior </t>
  </si>
  <si>
    <t xml:space="preserve">suite </t>
  </si>
  <si>
    <t>Mean</t>
  </si>
  <si>
    <t xml:space="preserve">rev par month </t>
  </si>
  <si>
    <t xml:space="preserve">april </t>
  </si>
  <si>
    <t>may</t>
  </si>
  <si>
    <t xml:space="preserve">june </t>
  </si>
  <si>
    <t>july</t>
  </si>
  <si>
    <t>Il faut 5 ans pour atteindre l'occupancy rate de la région (64,14%) On commence à 35% d'occupancy rate, puis augmentation de 7,28% par an pdt 4 ans</t>
  </si>
  <si>
    <t xml:space="preserve">august </t>
  </si>
  <si>
    <t>september</t>
  </si>
  <si>
    <t xml:space="preserve">october </t>
  </si>
  <si>
    <t>REVpar</t>
  </si>
  <si>
    <t xml:space="preserve">Occupancy rate </t>
  </si>
  <si>
    <t>Mean price (basé sur le concurrent)</t>
  </si>
  <si>
    <t>REVPAR</t>
  </si>
  <si>
    <t>A partir de la 5eme année, REVPAR + 4% par an (pdt 5 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</si>
</sst>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4" fontId="1" fillId="0" borderId="0" xfId="0" applyNumberFormat="1" applyFont="1"/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/>
    <xf numFmtId="0" fontId="2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RON Edouard" id="{EEDC9E3F-9C27-44EC-AB62-F4E111480873}" userId="PERON Edouard" providerId="None"/>
  <person displayName="PERON Edouard" id="{0571836E-F41C-4E30-9FB5-4B77D371B233}" userId="S::edouard.peron@essca.eu::576adaed-eac4-4a4b-ae15-988a0b0fc0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9-17T07:57:25.29" personId="{EEDC9E3F-9C27-44EC-AB62-F4E111480873}" id="{1A684066-9F24-47EC-AEFA-0DAAD7E3A2E3}">
    <text>taking the mean occupancy rate between the last two years of the island</text>
  </threadedComment>
  <threadedComment ref="E47" dT="2020-09-17T10:10:34.03" personId="{0571836E-F41C-4E30-9FB5-4B77D371B233}" id="{A21ED488-698A-4C05-8B00-91990DF779D5}">
    <text xml:space="preserve">depends on the value of the island 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771B-EA35-48D1-B684-96F8182A0F79}">
  <dimension ref="A2:C29"/>
  <sheetViews>
    <sheetView workbookViewId="0">
      <selection activeCell="Q12" sqref="Q12"/>
    </sheetView>
  </sheetViews>
  <sheetFormatPr defaultRowHeight="15"/>
  <cols>
    <col min="1" max="1" width="19.28515625" bestFit="1" customWidth="1"/>
    <col min="3" max="3" width="27.7109375" bestFit="1" customWidth="1"/>
  </cols>
  <sheetData>
    <row r="2" spans="1:3">
      <c r="A2" t="s">
        <v>0</v>
      </c>
      <c r="B2" s="3">
        <v>0.3</v>
      </c>
      <c r="C2" t="s">
        <v>1</v>
      </c>
    </row>
    <row r="3" spans="1:3">
      <c r="A3" t="s">
        <v>2</v>
      </c>
      <c r="B3" s="3">
        <v>0.3</v>
      </c>
      <c r="C3" t="s">
        <v>3</v>
      </c>
    </row>
    <row r="4" spans="1:3">
      <c r="A4" t="s">
        <v>4</v>
      </c>
      <c r="B4" s="3">
        <v>0.04</v>
      </c>
      <c r="C4" t="s">
        <v>1</v>
      </c>
    </row>
    <row r="5" spans="1:3">
      <c r="A5" t="s">
        <v>5</v>
      </c>
      <c r="B5" s="3">
        <v>0.3</v>
      </c>
      <c r="C5" t="s">
        <v>6</v>
      </c>
    </row>
    <row r="6" spans="1:3">
      <c r="A6" t="s">
        <v>7</v>
      </c>
      <c r="B6" s="3">
        <v>0.05</v>
      </c>
      <c r="C6" t="s">
        <v>1</v>
      </c>
    </row>
    <row r="7" spans="1:3">
      <c r="A7" t="s">
        <v>8</v>
      </c>
      <c r="B7" s="1">
        <v>2.5000000000000001E-3</v>
      </c>
      <c r="C7" t="s">
        <v>9</v>
      </c>
    </row>
    <row r="8" spans="1:3">
      <c r="A8" t="s">
        <v>10</v>
      </c>
      <c r="B8" s="3">
        <v>0.08</v>
      </c>
      <c r="C8" t="s">
        <v>1</v>
      </c>
    </row>
    <row r="9" spans="1:3">
      <c r="A9" t="s">
        <v>11</v>
      </c>
      <c r="B9" s="3">
        <v>0.04</v>
      </c>
      <c r="C9" t="s">
        <v>1</v>
      </c>
    </row>
    <row r="12" spans="1:3">
      <c r="A12" t="s">
        <v>12</v>
      </c>
    </row>
    <row r="13" spans="1:3">
      <c r="A13" t="s">
        <v>13</v>
      </c>
      <c r="B13" s="1">
        <v>7.0000000000000001E-3</v>
      </c>
      <c r="C13" t="s">
        <v>14</v>
      </c>
    </row>
    <row r="14" spans="1:3">
      <c r="A14" t="s">
        <v>15</v>
      </c>
      <c r="B14" s="3">
        <v>0.25</v>
      </c>
      <c r="C14" t="s">
        <v>16</v>
      </c>
    </row>
    <row r="29" spans="3:3">
      <c r="C29" s="3">
        <f>'hypothesis '!$B$9</f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1C2D-A69C-4A82-837C-DBAD4ACEEF08}">
  <dimension ref="B3:C30"/>
  <sheetViews>
    <sheetView workbookViewId="0"/>
  </sheetViews>
  <sheetFormatPr defaultRowHeight="15"/>
  <cols>
    <col min="2" max="2" width="25.140625" customWidth="1"/>
    <col min="3" max="3" width="38.28515625" customWidth="1"/>
  </cols>
  <sheetData>
    <row r="3" spans="2:3">
      <c r="B3" s="6"/>
      <c r="C3" s="6" t="s">
        <v>17</v>
      </c>
    </row>
    <row r="4" spans="2:3">
      <c r="B4" s="7" t="s">
        <v>18</v>
      </c>
      <c r="C4" s="6">
        <v>0</v>
      </c>
    </row>
    <row r="5" spans="2:3">
      <c r="B5" s="6"/>
      <c r="C5" s="6"/>
    </row>
    <row r="6" spans="2:3">
      <c r="B6" s="6" t="s">
        <v>19</v>
      </c>
      <c r="C6" s="8">
        <v>132000000</v>
      </c>
    </row>
    <row r="7" spans="2:3">
      <c r="B7" s="6" t="s">
        <v>20</v>
      </c>
      <c r="C7" s="8">
        <v>2000000</v>
      </c>
    </row>
    <row r="8" spans="2:3">
      <c r="B8" s="6"/>
      <c r="C8" s="6"/>
    </row>
    <row r="9" spans="2:3">
      <c r="B9" s="6"/>
      <c r="C9" s="6"/>
    </row>
    <row r="10" spans="2:3">
      <c r="B10" s="6" t="s">
        <v>21</v>
      </c>
      <c r="C10" s="8">
        <v>1000000</v>
      </c>
    </row>
    <row r="11" spans="2:3">
      <c r="B11" s="6" t="s">
        <v>22</v>
      </c>
      <c r="C11" s="6"/>
    </row>
    <row r="12" spans="2:3">
      <c r="B12" s="6" t="s">
        <v>23</v>
      </c>
      <c r="C12" s="8">
        <v>1000000</v>
      </c>
    </row>
    <row r="13" spans="2:3">
      <c r="B13" s="6" t="s">
        <v>24</v>
      </c>
      <c r="C13" s="8">
        <v>700000</v>
      </c>
    </row>
    <row r="14" spans="2:3">
      <c r="B14" s="6"/>
      <c r="C14" s="6"/>
    </row>
    <row r="15" spans="2:3">
      <c r="B15" s="6" t="s">
        <v>25</v>
      </c>
      <c r="C15" s="8">
        <v>1250000</v>
      </c>
    </row>
    <row r="16" spans="2:3">
      <c r="B16" s="6" t="s">
        <v>26</v>
      </c>
      <c r="C16" s="8">
        <v>300000</v>
      </c>
    </row>
    <row r="17" spans="2:3">
      <c r="B17" s="6" t="s">
        <v>27</v>
      </c>
      <c r="C17" s="8">
        <v>600000</v>
      </c>
    </row>
    <row r="18" spans="2:3">
      <c r="B18" s="6" t="s">
        <v>28</v>
      </c>
      <c r="C18" s="8">
        <v>100000</v>
      </c>
    </row>
    <row r="19" spans="2:3">
      <c r="B19" s="6" t="s">
        <v>29</v>
      </c>
      <c r="C19" s="6"/>
    </row>
    <row r="20" spans="2:3">
      <c r="B20" s="7" t="s">
        <v>30</v>
      </c>
      <c r="C20" s="9">
        <v>138950000</v>
      </c>
    </row>
    <row r="21" spans="2:3">
      <c r="B21" s="6"/>
      <c r="C21" s="6"/>
    </row>
    <row r="22" spans="2:3">
      <c r="B22" s="7" t="s">
        <v>31</v>
      </c>
      <c r="C22" s="6"/>
    </row>
    <row r="23" spans="2:3">
      <c r="B23" s="6"/>
      <c r="C23" s="6"/>
    </row>
    <row r="24" spans="2:3">
      <c r="B24" s="6" t="s">
        <v>32</v>
      </c>
      <c r="C24" s="6"/>
    </row>
    <row r="25" spans="2:3">
      <c r="B25" s="6"/>
      <c r="C25" s="6"/>
    </row>
    <row r="26" spans="2:3">
      <c r="B26" s="6" t="s">
        <v>33</v>
      </c>
      <c r="C26" s="6"/>
    </row>
    <row r="27" spans="2:3">
      <c r="B27" s="6" t="s">
        <v>34</v>
      </c>
    </row>
    <row r="28" spans="2:3">
      <c r="B28" s="6" t="s">
        <v>35</v>
      </c>
      <c r="C28" s="6"/>
    </row>
    <row r="29" spans="2:3">
      <c r="B29" s="6" t="s">
        <v>36</v>
      </c>
      <c r="C29" s="6"/>
    </row>
    <row r="30" spans="2:3">
      <c r="B30" s="6"/>
      <c r="C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037A-FAF6-48AA-9CD2-76CAF9A4FDE4}">
  <dimension ref="A3:P60"/>
  <sheetViews>
    <sheetView tabSelected="1" topLeftCell="A28" workbookViewId="0">
      <selection activeCell="D31" sqref="D31"/>
    </sheetView>
  </sheetViews>
  <sheetFormatPr defaultRowHeight="15"/>
  <cols>
    <col min="1" max="1" width="22.28515625" bestFit="1" customWidth="1"/>
    <col min="2" max="2" width="17" bestFit="1" customWidth="1"/>
    <col min="3" max="3" width="24.7109375" bestFit="1" customWidth="1"/>
    <col min="4" max="4" width="15.42578125" bestFit="1" customWidth="1"/>
    <col min="5" max="5" width="14.85546875" bestFit="1" customWidth="1"/>
    <col min="6" max="6" width="16" customWidth="1"/>
    <col min="7" max="7" width="17.140625" customWidth="1"/>
    <col min="8" max="8" width="17.85546875" customWidth="1"/>
    <col min="9" max="9" width="19.28515625" customWidth="1"/>
    <col min="10" max="10" width="15" customWidth="1"/>
    <col min="11" max="11" width="19.5703125" customWidth="1"/>
    <col min="12" max="12" width="14.7109375" customWidth="1"/>
    <col min="13" max="13" width="16.5703125" customWidth="1"/>
  </cols>
  <sheetData>
    <row r="3" spans="1:16">
      <c r="C3" t="s">
        <v>37</v>
      </c>
      <c r="D3" t="s">
        <v>38</v>
      </c>
      <c r="E3" t="s">
        <v>39</v>
      </c>
      <c r="G3" t="s">
        <v>40</v>
      </c>
      <c r="I3" t="s">
        <v>41</v>
      </c>
    </row>
    <row r="4" spans="1:16">
      <c r="C4">
        <v>1900</v>
      </c>
      <c r="E4" s="1">
        <f>(65.28%+57.02%)/2</f>
        <v>0.61150000000000004</v>
      </c>
      <c r="G4" s="1">
        <v>0.105</v>
      </c>
      <c r="I4" t="s">
        <v>42</v>
      </c>
    </row>
    <row r="5" spans="1:16">
      <c r="N5" t="s">
        <v>43</v>
      </c>
    </row>
    <row r="6" spans="1:16">
      <c r="N6" t="s">
        <v>44</v>
      </c>
      <c r="O6">
        <v>1350</v>
      </c>
      <c r="P6" t="s">
        <v>45</v>
      </c>
    </row>
    <row r="7" spans="1:16">
      <c r="J7" s="3"/>
    </row>
    <row r="8" spans="1:16">
      <c r="A8" s="17" t="s">
        <v>46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</row>
    <row r="9" spans="1:16">
      <c r="A9" s="17"/>
      <c r="B9" s="6" t="s">
        <v>19</v>
      </c>
      <c r="C9" s="8">
        <f>'Cash outflow'!C6</f>
        <v>132000000</v>
      </c>
    </row>
    <row r="10" spans="1:16">
      <c r="A10" s="17"/>
      <c r="B10" s="6" t="s">
        <v>20</v>
      </c>
      <c r="C10" s="8">
        <f>'Cash outflow'!C7</f>
        <v>2000000</v>
      </c>
    </row>
    <row r="11" spans="1:16">
      <c r="A11" s="17"/>
      <c r="B11" s="6" t="s">
        <v>21</v>
      </c>
      <c r="C11" s="8">
        <f>'Cash outflow'!C10</f>
        <v>1000000</v>
      </c>
    </row>
    <row r="12" spans="1:16">
      <c r="A12" s="17"/>
      <c r="B12" s="6" t="s">
        <v>22</v>
      </c>
      <c r="C12" s="8">
        <f>'Cash outflow'!C11</f>
        <v>0</v>
      </c>
    </row>
    <row r="13" spans="1:16">
      <c r="A13" s="17"/>
      <c r="B13" s="6" t="s">
        <v>23</v>
      </c>
      <c r="C13" s="8">
        <f>'Cash outflow'!C12</f>
        <v>1000000</v>
      </c>
    </row>
    <row r="14" spans="1:16">
      <c r="B14" s="6" t="s">
        <v>24</v>
      </c>
      <c r="C14" s="8">
        <f>'Cash outflow'!C13</f>
        <v>700000</v>
      </c>
    </row>
    <row r="15" spans="1:16">
      <c r="B15" s="6" t="s">
        <v>25</v>
      </c>
      <c r="C15" s="8">
        <f>'Cash outflow'!C15</f>
        <v>1250000</v>
      </c>
    </row>
    <row r="16" spans="1:16">
      <c r="B16" s="6" t="s">
        <v>26</v>
      </c>
      <c r="C16" s="8">
        <f>'Cash outflow'!C16</f>
        <v>300000</v>
      </c>
    </row>
    <row r="17" spans="1:13">
      <c r="B17" s="6" t="s">
        <v>27</v>
      </c>
      <c r="C17" s="8">
        <f>'Cash outflow'!C17</f>
        <v>600000</v>
      </c>
    </row>
    <row r="18" spans="1:13">
      <c r="B18" s="6" t="s">
        <v>47</v>
      </c>
      <c r="C18" s="8">
        <v>1750000</v>
      </c>
    </row>
    <row r="19" spans="1:13">
      <c r="B19" s="6" t="s">
        <v>28</v>
      </c>
      <c r="C19" s="8">
        <f>'Cash outflow'!C18</f>
        <v>100000</v>
      </c>
    </row>
    <row r="20" spans="1:13">
      <c r="B20" t="s">
        <v>48</v>
      </c>
      <c r="C20" s="10">
        <f>-SUM(C9:C19)</f>
        <v>-140700000</v>
      </c>
    </row>
    <row r="21" spans="1:13">
      <c r="C21" s="10"/>
    </row>
    <row r="22" spans="1:13">
      <c r="C22" s="10"/>
    </row>
    <row r="23" spans="1:13">
      <c r="A23" s="17" t="s">
        <v>49</v>
      </c>
      <c r="B23" t="s">
        <v>50</v>
      </c>
      <c r="C23" s="10"/>
      <c r="D23" s="5">
        <f>'revpar analysis'!D22</f>
        <v>143.79166666666666</v>
      </c>
      <c r="E23" s="4">
        <f>'revpar analysis'!E22</f>
        <v>173.7003333333333</v>
      </c>
      <c r="F23" s="4">
        <f>'revpar analysis'!F22</f>
        <v>203.60899999999995</v>
      </c>
      <c r="G23" s="4">
        <f>'revpar analysis'!G22</f>
        <v>233.51766666666663</v>
      </c>
      <c r="H23" s="4">
        <f>'revpar analysis'!H22</f>
        <v>263.42633333333328</v>
      </c>
      <c r="I23" s="4">
        <f>H23*(1+0.04)</f>
        <v>273.96338666666662</v>
      </c>
      <c r="J23" s="4">
        <f>I23*(1+0.04)</f>
        <v>284.92192213333328</v>
      </c>
      <c r="K23" s="4">
        <f>J23*(1+0.04)</f>
        <v>296.3187990186666</v>
      </c>
      <c r="L23" s="4">
        <f>K23*(1+0)</f>
        <v>296.3187990186666</v>
      </c>
      <c r="M23" s="4">
        <f>L23*(1+0)</f>
        <v>296.3187990186666</v>
      </c>
    </row>
    <row r="24" spans="1:13">
      <c r="A24" s="17"/>
      <c r="B24" t="s">
        <v>51</v>
      </c>
      <c r="D24">
        <f>365/2</f>
        <v>182.5</v>
      </c>
      <c r="E24">
        <f>365/2</f>
        <v>182.5</v>
      </c>
      <c r="F24">
        <f>365/2</f>
        <v>182.5</v>
      </c>
      <c r="G24">
        <f>365/2</f>
        <v>182.5</v>
      </c>
      <c r="H24">
        <f>365/2</f>
        <v>182.5</v>
      </c>
      <c r="I24">
        <f>365/2</f>
        <v>182.5</v>
      </c>
      <c r="J24">
        <f>365/2</f>
        <v>182.5</v>
      </c>
      <c r="K24">
        <f>365/2</f>
        <v>182.5</v>
      </c>
      <c r="L24">
        <f>365/2</f>
        <v>182.5</v>
      </c>
      <c r="M24">
        <f>365/2</f>
        <v>182.5</v>
      </c>
    </row>
    <row r="25" spans="1:13">
      <c r="A25" s="17"/>
      <c r="B25" t="s">
        <v>52</v>
      </c>
      <c r="D25">
        <f>D23*365/2</f>
        <v>26241.979166666664</v>
      </c>
      <c r="E25">
        <f t="shared" ref="E25:M25" si="0">E23*365/2</f>
        <v>31700.310833333329</v>
      </c>
      <c r="F25">
        <f t="shared" si="0"/>
        <v>37158.642499999994</v>
      </c>
      <c r="G25">
        <f t="shared" si="0"/>
        <v>42616.97416666666</v>
      </c>
      <c r="H25">
        <f t="shared" si="0"/>
        <v>48075.305833333325</v>
      </c>
      <c r="I25">
        <f t="shared" si="0"/>
        <v>49998.318066666659</v>
      </c>
      <c r="J25">
        <f t="shared" si="0"/>
        <v>51998.250789333324</v>
      </c>
      <c r="K25">
        <f>K23*365/2</f>
        <v>54078.180820906651</v>
      </c>
      <c r="L25">
        <f t="shared" si="0"/>
        <v>54078.180820906651</v>
      </c>
      <c r="M25">
        <f t="shared" si="0"/>
        <v>54078.180820906651</v>
      </c>
    </row>
    <row r="26" spans="1:13">
      <c r="A26" s="17"/>
      <c r="B26" t="s">
        <v>53</v>
      </c>
      <c r="D26">
        <f>$O$6*'revpar analysis'!D20</f>
        <v>472.49999999999994</v>
      </c>
      <c r="E26">
        <f>$O$6*'revpar analysis'!E20</f>
        <v>570.78</v>
      </c>
      <c r="F26">
        <f>$O$6*'revpar analysis'!F20</f>
        <v>669.06</v>
      </c>
      <c r="G26">
        <f>$O$6*'revpar analysis'!G20</f>
        <v>767.33999999999992</v>
      </c>
      <c r="H26">
        <f>$O$6*'revpar analysis'!H20</f>
        <v>865.61999999999989</v>
      </c>
      <c r="I26">
        <f>$O$6*'revpar analysis'!H20</f>
        <v>865.61999999999989</v>
      </c>
      <c r="J26">
        <f>$O$6*'revpar analysis'!H20</f>
        <v>865.61999999999989</v>
      </c>
      <c r="K26">
        <f>$O$6*'revpar analysis'!H20</f>
        <v>865.61999999999989</v>
      </c>
      <c r="L26">
        <f>$O$6*'revpar analysis'!H20</f>
        <v>865.61999999999989</v>
      </c>
      <c r="M26">
        <f>$O$6*'revpar analysis'!H20</f>
        <v>865.61999999999989</v>
      </c>
    </row>
    <row r="27" spans="1:13">
      <c r="A27" s="17"/>
      <c r="B27" t="s">
        <v>54</v>
      </c>
      <c r="D27" s="2">
        <f>D25*D26</f>
        <v>12399335.156249998</v>
      </c>
      <c r="E27" s="2">
        <f t="shared" ref="E27:M27" si="1">E25*E26</f>
        <v>18093903.417449996</v>
      </c>
      <c r="F27" s="2">
        <f t="shared" si="1"/>
        <v>24861361.351049993</v>
      </c>
      <c r="G27" s="2">
        <f t="shared" si="1"/>
        <v>32701708.957049992</v>
      </c>
      <c r="H27" s="2">
        <f t="shared" si="1"/>
        <v>41614946.235449985</v>
      </c>
      <c r="I27" s="2">
        <f t="shared" si="1"/>
        <v>43279544.084867992</v>
      </c>
      <c r="J27" s="2">
        <f t="shared" si="1"/>
        <v>45010725.848262705</v>
      </c>
      <c r="K27" s="2">
        <f t="shared" si="1"/>
        <v>46811154.882193208</v>
      </c>
      <c r="L27" s="2">
        <f t="shared" si="1"/>
        <v>46811154.882193208</v>
      </c>
      <c r="M27" s="2">
        <f t="shared" si="1"/>
        <v>46811154.882193208</v>
      </c>
    </row>
    <row r="28" spans="1:13">
      <c r="A28" s="17" t="s">
        <v>55</v>
      </c>
      <c r="B28" t="s">
        <v>56</v>
      </c>
      <c r="D28">
        <f>50*D26*365/2</f>
        <v>4311562.4999999991</v>
      </c>
      <c r="E28">
        <f>50*E26*365/2</f>
        <v>5208367.5</v>
      </c>
      <c r="F28">
        <f>50*F26*365/2</f>
        <v>6105172.5</v>
      </c>
      <c r="G28">
        <f>50*G26*365/2</f>
        <v>7001977.4999999991</v>
      </c>
      <c r="H28">
        <f>50*H26*365/2</f>
        <v>7898782.4999999991</v>
      </c>
      <c r="I28">
        <f>50*I26*365/2</f>
        <v>7898782.4999999991</v>
      </c>
      <c r="J28">
        <f>50*J26*365/2</f>
        <v>7898782.4999999991</v>
      </c>
      <c r="K28">
        <f>50*K26*365/2</f>
        <v>7898782.4999999991</v>
      </c>
      <c r="L28">
        <f>50*L26*365/2</f>
        <v>7898782.4999999991</v>
      </c>
      <c r="M28">
        <f>50*M26*365/2</f>
        <v>7898782.4999999991</v>
      </c>
    </row>
    <row r="29" spans="1:13">
      <c r="A29" s="17"/>
      <c r="B29" t="s">
        <v>57</v>
      </c>
      <c r="D29">
        <f>40*D26*365/2</f>
        <v>3449249.9999999995</v>
      </c>
      <c r="E29">
        <f>40*E26*365/2</f>
        <v>4166693.9999999995</v>
      </c>
      <c r="F29">
        <f>40*F26*365/2</f>
        <v>4884138</v>
      </c>
      <c r="G29">
        <f>40*G26*365/2</f>
        <v>5601582</v>
      </c>
      <c r="H29">
        <f>40*H26*365/2</f>
        <v>6319025.9999999991</v>
      </c>
      <c r="I29">
        <f>40*I26*365/2</f>
        <v>6319025.9999999991</v>
      </c>
      <c r="J29">
        <f>40*J26*365/2</f>
        <v>6319025.9999999991</v>
      </c>
      <c r="K29">
        <f>40*K26*365/2</f>
        <v>6319025.9999999991</v>
      </c>
      <c r="L29">
        <f>40*L26*365/2</f>
        <v>6319025.9999999991</v>
      </c>
      <c r="M29">
        <f>40*M26*365/2</f>
        <v>6319025.9999999991</v>
      </c>
    </row>
    <row r="30" spans="1:13">
      <c r="A30" s="17"/>
      <c r="B30" t="s">
        <v>58</v>
      </c>
      <c r="D30">
        <f>10*D26*365/2</f>
        <v>862312.49999999988</v>
      </c>
      <c r="E30">
        <f>10*E26*365/2</f>
        <v>1041673.4999999999</v>
      </c>
      <c r="F30">
        <f>10*F26*365/2</f>
        <v>1221034.5</v>
      </c>
      <c r="G30">
        <f>10*G26*365/2</f>
        <v>1400395.5</v>
      </c>
      <c r="H30">
        <f>10*H26*365/2</f>
        <v>1579756.4999999998</v>
      </c>
      <c r="I30">
        <f>10*I26*365/2</f>
        <v>1579756.4999999998</v>
      </c>
      <c r="J30">
        <f>10*J26*365/2</f>
        <v>1579756.4999999998</v>
      </c>
      <c r="K30">
        <f>10*K26*365/2</f>
        <v>1579756.4999999998</v>
      </c>
      <c r="L30">
        <f>10*L26*365/2</f>
        <v>1579756.4999999998</v>
      </c>
      <c r="M30">
        <f>10*M26*365/2</f>
        <v>1579756.4999999998</v>
      </c>
    </row>
    <row r="31" spans="1:13">
      <c r="A31" s="17"/>
      <c r="B31" t="s">
        <v>59</v>
      </c>
      <c r="D31">
        <f>5*365/2*D26</f>
        <v>431156.24999999994</v>
      </c>
      <c r="E31">
        <f>5*365/2*E26</f>
        <v>520836.75</v>
      </c>
      <c r="F31">
        <f>5*365/2*F26</f>
        <v>610517.25</v>
      </c>
      <c r="G31">
        <f>5*365/2*G26</f>
        <v>700197.74999999988</v>
      </c>
      <c r="H31">
        <f>5*365/2*H26</f>
        <v>789878.24999999988</v>
      </c>
      <c r="I31">
        <f>5*365/2*I26</f>
        <v>789878.24999999988</v>
      </c>
      <c r="J31">
        <f>5*365/2*J26</f>
        <v>789878.24999999988</v>
      </c>
      <c r="K31">
        <f>5*365/2*K26</f>
        <v>789878.24999999988</v>
      </c>
      <c r="L31">
        <f>5*365/2*L26</f>
        <v>789878.24999999988</v>
      </c>
      <c r="M31">
        <f>5*365/2*M26</f>
        <v>789878.24999999988</v>
      </c>
    </row>
    <row r="32" spans="1:13">
      <c r="A32" s="17"/>
      <c r="B32" t="s">
        <v>60</v>
      </c>
      <c r="D32">
        <f>10*D26*365/2</f>
        <v>862312.49999999988</v>
      </c>
      <c r="E32">
        <f>10*E26*365/2</f>
        <v>1041673.4999999999</v>
      </c>
      <c r="F32">
        <f>10*F26*365/2</f>
        <v>1221034.5</v>
      </c>
      <c r="G32">
        <f>10*G26*365/2</f>
        <v>1400395.5</v>
      </c>
      <c r="H32">
        <f>10*H26*365/2</f>
        <v>1579756.4999999998</v>
      </c>
      <c r="I32">
        <f>10*I26*365/2</f>
        <v>1579756.4999999998</v>
      </c>
      <c r="J32">
        <f>10*J26*365/2</f>
        <v>1579756.4999999998</v>
      </c>
      <c r="K32">
        <f>10*K26*365/2</f>
        <v>1579756.4999999998</v>
      </c>
      <c r="L32">
        <f>10*L26*365/2</f>
        <v>1579756.4999999998</v>
      </c>
      <c r="M32">
        <f>10*M26*365/2</f>
        <v>1579756.4999999998</v>
      </c>
    </row>
    <row r="33" spans="1:13">
      <c r="A33" s="17"/>
      <c r="B33" t="s">
        <v>61</v>
      </c>
      <c r="D33" s="2">
        <f>0.01*D27*'revpar analysis'!D20</f>
        <v>43397.673046874996</v>
      </c>
      <c r="E33" s="2">
        <f>0.01*E27*'revpar analysis'!E20</f>
        <v>76501.023648978575</v>
      </c>
      <c r="F33" s="2">
        <f>0.01*F27*'revpar analysis'!F20</f>
        <v>123212.90685580375</v>
      </c>
      <c r="G33" s="2">
        <f>0.01*G27*'revpar analysis'!G20</f>
        <v>185876.5137118721</v>
      </c>
      <c r="H33" s="2">
        <f>0.01*H27*'revpar analysis'!$H$20</f>
        <v>266835.03526170523</v>
      </c>
      <c r="I33" s="2">
        <f>0.01*I27*'revpar analysis'!$H$20</f>
        <v>277508.4366721735</v>
      </c>
      <c r="J33" s="2">
        <f>0.01*J27*'revpar analysis'!$H$20</f>
        <v>288608.77413906041</v>
      </c>
      <c r="K33" s="2">
        <f>0.01*K27*'revpar analysis'!$H$20</f>
        <v>300153.1251046228</v>
      </c>
      <c r="L33" s="2">
        <f>0.01*L27*'revpar analysis'!$H$20</f>
        <v>300153.1251046228</v>
      </c>
      <c r="M33" s="2">
        <f>0.01*M27*'revpar analysis'!$H$20</f>
        <v>300153.1251046228</v>
      </c>
    </row>
    <row r="34" spans="1:13">
      <c r="A34" s="11"/>
      <c r="B34" t="s">
        <v>62</v>
      </c>
      <c r="D34" s="2">
        <f>D27+D28+D29+D31+D30+D32+D33</f>
        <v>22359326.579296872</v>
      </c>
      <c r="E34" s="2">
        <f>E27+E28+E29+E31+E30+E32+E33</f>
        <v>30149649.691098973</v>
      </c>
      <c r="F34" s="2">
        <f>F27+F28+F29+F31+F30+F32+F33</f>
        <v>39026471.007905796</v>
      </c>
      <c r="G34" s="2">
        <f>G27+G28+G29+G31+G30+G32+G33</f>
        <v>48992133.720761858</v>
      </c>
      <c r="H34" s="2">
        <f>H27+H28+H29+H31+H30+H32+H33</f>
        <v>60048981.02071169</v>
      </c>
      <c r="I34" s="2">
        <f>I27+I28+I29+I31+I30+I32+I33</f>
        <v>61724252.271540165</v>
      </c>
      <c r="J34" s="2">
        <f>J27+J28+J29+J31+J30+J32+J33</f>
        <v>63466534.372401766</v>
      </c>
      <c r="K34" s="2">
        <f>K27+K28+K29+K31+K30+K32+K33</f>
        <v>65278507.757297829</v>
      </c>
      <c r="L34" s="2">
        <f>L27+L28+L29+L31+L30+L32+L33</f>
        <v>65278507.757297829</v>
      </c>
      <c r="M34" s="2">
        <f>M27+M28+M29+M31+M30+M32+M33</f>
        <v>65278507.757297829</v>
      </c>
    </row>
    <row r="35" spans="1:13">
      <c r="A35" s="17" t="s">
        <v>63</v>
      </c>
      <c r="B35" t="s">
        <v>64</v>
      </c>
      <c r="D35" s="2">
        <f>depreciation!I33</f>
        <v>8916500</v>
      </c>
      <c r="E35" s="2">
        <f>depreciation!J33</f>
        <v>8916500</v>
      </c>
      <c r="F35" s="2">
        <f>depreciation!K33</f>
        <v>8916500</v>
      </c>
      <c r="G35" s="2">
        <f>depreciation!L33</f>
        <v>8916500</v>
      </c>
      <c r="H35" s="2">
        <f>depreciation!M33</f>
        <v>8916500</v>
      </c>
      <c r="I35" s="2">
        <f>depreciation!N33</f>
        <v>8916500</v>
      </c>
      <c r="J35" s="2">
        <f>depreciation!O33</f>
        <v>8916500</v>
      </c>
      <c r="K35" s="2">
        <f>depreciation!P33</f>
        <v>8916500</v>
      </c>
      <c r="L35" s="2">
        <f>depreciation!Q33</f>
        <v>8916500</v>
      </c>
      <c r="M35" s="2">
        <f>depreciation!R33</f>
        <v>8916500</v>
      </c>
    </row>
    <row r="36" spans="1:13">
      <c r="A36" s="17"/>
      <c r="B36" t="s">
        <v>0</v>
      </c>
      <c r="D36" s="2">
        <f>'hypothesis '!$B$2*'cash flows'!D34</f>
        <v>6707797.9737890614</v>
      </c>
      <c r="E36" s="2">
        <f>'hypothesis '!$B$2*'cash flows'!E34</f>
        <v>9044894.9073296916</v>
      </c>
      <c r="F36" s="2">
        <f>'hypothesis '!$B$2*'cash flows'!F34</f>
        <v>11707941.302371738</v>
      </c>
      <c r="G36" s="2">
        <f>'hypothesis '!$B$2*'cash flows'!G34</f>
        <v>14697640.116228556</v>
      </c>
      <c r="H36" s="2">
        <f>'hypothesis '!$B$2*'cash flows'!H34</f>
        <v>18014694.306213506</v>
      </c>
      <c r="I36" s="2">
        <f>'hypothesis '!$B$2*'cash flows'!I34</f>
        <v>18517275.681462049</v>
      </c>
      <c r="J36" s="2">
        <f>'hypothesis '!$B$2*'cash flows'!J34</f>
        <v>19039960.311720528</v>
      </c>
      <c r="K36" s="2">
        <f>'hypothesis '!$B$2*'cash flows'!K34</f>
        <v>19583552.327189349</v>
      </c>
      <c r="L36" s="2">
        <f>'hypothesis '!$B$2*'cash flows'!L34</f>
        <v>19583552.327189349</v>
      </c>
      <c r="M36" s="2">
        <f>'hypothesis '!$B$2*'cash flows'!M34</f>
        <v>19583552.327189349</v>
      </c>
    </row>
    <row r="37" spans="1:13">
      <c r="A37" s="17"/>
      <c r="B37" t="s">
        <v>2</v>
      </c>
      <c r="D37">
        <f>'hypothesis '!$B$3*(D29+D30+D31)</f>
        <v>1422815.6249999998</v>
      </c>
      <c r="E37">
        <f>'hypothesis '!$B$3*(E29+E30+E31)</f>
        <v>1718761.2749999997</v>
      </c>
      <c r="F37">
        <f>'hypothesis '!$B$3*(F29+F30+F31)</f>
        <v>2014706.9249999998</v>
      </c>
      <c r="G37">
        <f>'hypothesis '!$B$3*(G29+G30+G31)</f>
        <v>2310652.5749999997</v>
      </c>
      <c r="H37">
        <f>'hypothesis '!$B$3*(H29+H30+H31)</f>
        <v>2606598.2249999992</v>
      </c>
      <c r="I37">
        <f>'hypothesis '!$B$3*(I29+I30+I31)</f>
        <v>2606598.2249999992</v>
      </c>
      <c r="J37">
        <f>'hypothesis '!$B$3*(J29+J30+J31)</f>
        <v>2606598.2249999992</v>
      </c>
      <c r="K37">
        <f>'hypothesis '!$B$3*(K29+K30+K31)</f>
        <v>2606598.2249999992</v>
      </c>
      <c r="L37">
        <f>'hypothesis '!$B$3*(L29+L30+L31)</f>
        <v>2606598.2249999992</v>
      </c>
      <c r="M37">
        <f>'hypothesis '!$B$3*(M29+M30+M31)</f>
        <v>2606598.2249999992</v>
      </c>
    </row>
    <row r="38" spans="1:13">
      <c r="A38" s="17"/>
      <c r="B38" t="s">
        <v>4</v>
      </c>
      <c r="D38" s="2">
        <f>'hypothesis '!$B$4*'cash flows'!D34</f>
        <v>894373.06317187485</v>
      </c>
      <c r="E38" s="2">
        <f>'hypothesis '!$B$4*'cash flows'!E34</f>
        <v>1205985.987643959</v>
      </c>
      <c r="F38" s="2">
        <f>'hypothesis '!$B$4*'cash flows'!F34</f>
        <v>1561058.8403162318</v>
      </c>
      <c r="G38" s="2">
        <f>'hypothesis '!$B$4*'cash flows'!G34</f>
        <v>1959685.3488304743</v>
      </c>
      <c r="H38" s="2">
        <f>'hypothesis '!$B$4*'cash flows'!H34</f>
        <v>2401959.2408284675</v>
      </c>
      <c r="I38" s="2">
        <f>'hypothesis '!$B$4*'cash flows'!I34</f>
        <v>2468970.0908616069</v>
      </c>
      <c r="J38" s="2">
        <f>'hypothesis '!$B$4*'cash flows'!J34</f>
        <v>2538661.3748960709</v>
      </c>
      <c r="K38" s="2">
        <f>'hypothesis '!$B$4*'cash flows'!K34</f>
        <v>2611140.3102919133</v>
      </c>
      <c r="L38" s="2">
        <f>'hypothesis '!$B$4*'cash flows'!L34</f>
        <v>2611140.3102919133</v>
      </c>
      <c r="M38" s="2">
        <f>'hypothesis '!$B$4*'cash flows'!M34</f>
        <v>2611140.3102919133</v>
      </c>
    </row>
    <row r="39" spans="1:13">
      <c r="A39" s="17"/>
      <c r="B39" t="s">
        <v>5</v>
      </c>
      <c r="D39">
        <f>'hypothesis '!$B$5*'cash flows'!D28</f>
        <v>1293468.7499999998</v>
      </c>
      <c r="E39">
        <f>'hypothesis '!$B$5*'cash flows'!E28</f>
        <v>1562510.25</v>
      </c>
      <c r="F39">
        <f>'hypothesis '!$B$5*'cash flows'!F28</f>
        <v>1831551.75</v>
      </c>
      <c r="G39">
        <f>'hypothesis '!$B$5*'cash flows'!G28</f>
        <v>2100593.2499999995</v>
      </c>
      <c r="H39">
        <f>'hypothesis '!$B$5*'cash flows'!H28</f>
        <v>2369634.7499999995</v>
      </c>
      <c r="I39">
        <f>'hypothesis '!$B$5*'cash flows'!I28</f>
        <v>2369634.7499999995</v>
      </c>
      <c r="J39">
        <f>'hypothesis '!$B$5*'cash flows'!J28</f>
        <v>2369634.7499999995</v>
      </c>
      <c r="K39">
        <f>'hypothesis '!$B$5*'cash flows'!K28</f>
        <v>2369634.7499999995</v>
      </c>
      <c r="L39">
        <f>'hypothesis '!$B$5*'cash flows'!L28</f>
        <v>2369634.7499999995</v>
      </c>
      <c r="M39">
        <f>'hypothesis '!$B$5*'cash flows'!M28</f>
        <v>2369634.7499999995</v>
      </c>
    </row>
    <row r="40" spans="1:13">
      <c r="A40" s="17"/>
      <c r="B40" t="s">
        <v>7</v>
      </c>
      <c r="D40" s="2">
        <f>'hypothesis '!$B$6*'cash flows'!D34</f>
        <v>1117966.3289648436</v>
      </c>
      <c r="E40" s="2">
        <f>'hypothesis '!$B$6*'cash flows'!E34</f>
        <v>1507482.4845549488</v>
      </c>
      <c r="F40" s="2">
        <f>'hypothesis '!$B$6*'cash flows'!F34</f>
        <v>1951323.5503952899</v>
      </c>
      <c r="G40" s="2">
        <f>'hypothesis '!$B$6*'cash flows'!G34</f>
        <v>2449606.6860380932</v>
      </c>
      <c r="H40" s="2">
        <f>'hypothesis '!$B$6*'cash flows'!H34</f>
        <v>3002449.0510355849</v>
      </c>
      <c r="I40" s="2">
        <f>'hypothesis '!$B$6*'cash flows'!I34</f>
        <v>3086212.6135770082</v>
      </c>
      <c r="J40" s="2">
        <f>'hypothesis '!$B$6*'cash flows'!J34</f>
        <v>3173326.7186200884</v>
      </c>
      <c r="K40" s="2">
        <f>'hypothesis '!$B$6*'cash flows'!K34</f>
        <v>3263925.3878648914</v>
      </c>
      <c r="L40" s="2">
        <f>'hypothesis '!$B$6*'cash flows'!L34</f>
        <v>3263925.3878648914</v>
      </c>
      <c r="M40" s="2">
        <f>'hypothesis '!$B$6*'cash flows'!M34</f>
        <v>3263925.3878648914</v>
      </c>
    </row>
    <row r="41" spans="1:13">
      <c r="A41" s="17"/>
      <c r="B41" t="s">
        <v>8</v>
      </c>
      <c r="D41">
        <f>'hypothesis '!$B$7*depreciation!I6</f>
        <v>310200</v>
      </c>
      <c r="E41">
        <f>'hypothesis '!$B$7*depreciation!J6</f>
        <v>290400</v>
      </c>
      <c r="F41">
        <f>'hypothesis '!$B$7*depreciation!K6</f>
        <v>270600</v>
      </c>
      <c r="G41">
        <f>'hypothesis '!$B$7*depreciation!L6</f>
        <v>250800</v>
      </c>
      <c r="H41">
        <f>'hypothesis '!$B$7*depreciation!M6</f>
        <v>231000</v>
      </c>
      <c r="I41">
        <f>'hypothesis '!$B$7*depreciation!N6</f>
        <v>211200</v>
      </c>
      <c r="J41">
        <f>'hypothesis '!$B$7*depreciation!O6</f>
        <v>191400</v>
      </c>
      <c r="K41">
        <f>'hypothesis '!$B$7*depreciation!P6</f>
        <v>171600</v>
      </c>
      <c r="L41">
        <f>'hypothesis '!$B$7*depreciation!Q6</f>
        <v>151800</v>
      </c>
      <c r="M41">
        <f>'hypothesis '!$B$7*depreciation!R6</f>
        <v>132000</v>
      </c>
    </row>
    <row r="42" spans="1:13">
      <c r="A42" s="17"/>
      <c r="B42" t="s">
        <v>10</v>
      </c>
      <c r="D42" s="2">
        <f>'hypothesis '!$B$8*'cash flows'!D27</f>
        <v>991946.81249999988</v>
      </c>
      <c r="E42" s="2">
        <f>'hypothesis '!$B$8*'cash flows'!E27</f>
        <v>1447512.2733959998</v>
      </c>
      <c r="F42" s="2">
        <f>'hypothesis '!$B$8*'cash flows'!F27</f>
        <v>1988908.9080839995</v>
      </c>
      <c r="G42" s="2">
        <f>'hypothesis '!$B$8*'cash flows'!G27</f>
        <v>2616136.7165639992</v>
      </c>
      <c r="H42" s="2">
        <f>'hypothesis '!$B$8*'cash flows'!H27</f>
        <v>3329195.6988359988</v>
      </c>
      <c r="I42" s="2">
        <f>'hypothesis '!$B$8*'cash flows'!I27</f>
        <v>3462363.5267894394</v>
      </c>
      <c r="J42" s="2">
        <f>'hypothesis '!$B$8*'cash flows'!J27</f>
        <v>3600858.0678610164</v>
      </c>
      <c r="K42" s="2">
        <f>'hypothesis '!$B$8*'cash flows'!K27</f>
        <v>3744892.3905754569</v>
      </c>
      <c r="L42" s="2">
        <f>'hypothesis '!$B$8*'cash flows'!L27</f>
        <v>3744892.3905754569</v>
      </c>
      <c r="M42" s="2">
        <f>'hypothesis '!$B$8*'cash flows'!M27</f>
        <v>3744892.3905754569</v>
      </c>
    </row>
    <row r="43" spans="1:13">
      <c r="A43" s="17"/>
      <c r="B43" t="s">
        <v>11</v>
      </c>
      <c r="D43" s="2">
        <f>'hypothesis '!$B$9*'cash flows'!D34</f>
        <v>894373.06317187485</v>
      </c>
      <c r="E43" s="2">
        <f>'hypothesis '!$B$9*'cash flows'!E34</f>
        <v>1205985.987643959</v>
      </c>
      <c r="F43" s="2">
        <f>'hypothesis '!$B$9*'cash flows'!F34</f>
        <v>1561058.8403162318</v>
      </c>
      <c r="G43" s="2">
        <f>'hypothesis '!$B$9*'cash flows'!G34</f>
        <v>1959685.3488304743</v>
      </c>
      <c r="H43" s="2">
        <f>'hypothesis '!$B$9*'cash flows'!H34</f>
        <v>2401959.2408284675</v>
      </c>
      <c r="I43" s="2">
        <f>'hypothesis '!$B$9*'cash flows'!I34</f>
        <v>2468970.0908616069</v>
      </c>
      <c r="J43" s="2">
        <f>'hypothesis '!$B$9*'cash flows'!J34</f>
        <v>2538661.3748960709</v>
      </c>
      <c r="K43" s="2">
        <f>'hypothesis '!$B$9*'cash flows'!K34</f>
        <v>2611140.3102919133</v>
      </c>
      <c r="L43" s="2">
        <f>'hypothesis '!$B$9*'cash flows'!L34</f>
        <v>2611140.3102919133</v>
      </c>
      <c r="M43" s="2">
        <f>'hypothesis '!$B$9*'cash flows'!M34</f>
        <v>2611140.3102919133</v>
      </c>
    </row>
    <row r="44" spans="1:13">
      <c r="A44" t="s">
        <v>16</v>
      </c>
      <c r="D44" s="2">
        <f>D34-D35-D36-D37-D38-D39-D40-D41-D42-D43</f>
        <v>-190115.03730078251</v>
      </c>
      <c r="E44" s="2">
        <f>E34-E35-E36-E37-E38-E39-E40-E41-E42-E43</f>
        <v>3249616.5255304147</v>
      </c>
      <c r="F44" s="2">
        <f>F34-F35-F36-F37-F38-F39-F40-F41-F42-F43</f>
        <v>7222820.8914223015</v>
      </c>
      <c r="G44" s="2">
        <f>G34-G35-G36-G37-G38-G39-G40-G41-G42-G43</f>
        <v>11730833.67927026</v>
      </c>
      <c r="H44" s="2">
        <f>H34-H35-H36-H37-H38-H39-H40-H41-H42-H43</f>
        <v>16774990.507969672</v>
      </c>
      <c r="I44" s="2">
        <f>I34-I35-I36-I37-I38-I39-I40-I41-I42-I43</f>
        <v>17616527.292988457</v>
      </c>
      <c r="J44" s="2">
        <f>J34-J35-J36-J37-J38-J39-J40-J41-J42-J43</f>
        <v>18490933.549407993</v>
      </c>
      <c r="K44" s="2">
        <f>K34-K35-K36-K37-K38-K39-K40-K41-K42-K43</f>
        <v>19399524.056084305</v>
      </c>
      <c r="L44" s="2">
        <f>L34-L35-L36-L37-L38-L39-L40-L41-L42-L43</f>
        <v>19419324.056084305</v>
      </c>
      <c r="M44" s="2">
        <f>M34-M35-M36-M37-M38-M39-M40-M41-M42-M43</f>
        <v>19439124.056084305</v>
      </c>
    </row>
    <row r="45" spans="1:13">
      <c r="A45" t="s">
        <v>65</v>
      </c>
      <c r="C45" s="10"/>
      <c r="E45" s="2">
        <f>D44</f>
        <v>-190115.03730078251</v>
      </c>
    </row>
    <row r="46" spans="1:13">
      <c r="A46" t="s">
        <v>66</v>
      </c>
      <c r="E46" s="2">
        <f>(E44+E45)*'hypothesis '!$B$14</f>
        <v>764875.37205740809</v>
      </c>
      <c r="F46" s="2">
        <f>(F44+F45)*'hypothesis '!$B$14</f>
        <v>1805705.2228555754</v>
      </c>
      <c r="G46" s="2">
        <f>(G44+G45)*'hypothesis '!$B$14</f>
        <v>2932708.419817565</v>
      </c>
      <c r="H46" s="2">
        <f>(H44+H45)*'hypothesis '!$B$14</f>
        <v>4193747.626992418</v>
      </c>
      <c r="I46" s="2">
        <f>(I44+I45)*'hypothesis '!$B$14</f>
        <v>4404131.8232471142</v>
      </c>
      <c r="J46" s="2">
        <f>(J44+J45)*'hypothesis '!$B$14</f>
        <v>4622733.3873519981</v>
      </c>
      <c r="K46" s="2">
        <f>(K44+K45)*'hypothesis '!$B$14</f>
        <v>4849881.0140210763</v>
      </c>
      <c r="L46" s="2">
        <f>(L44+L45)*'hypothesis '!$B$14</f>
        <v>4854831.0140210763</v>
      </c>
      <c r="M46" s="2">
        <f>(M44+M45)*'hypothesis '!$B$14</f>
        <v>4859781.0140210763</v>
      </c>
    </row>
    <row r="47" spans="1:13">
      <c r="A47" t="s">
        <v>67</v>
      </c>
      <c r="E47">
        <f>'hypothesis '!$B$13*depreciation!$H$21</f>
        <v>972650</v>
      </c>
      <c r="F47">
        <f>'hypothesis '!$B$13*depreciation!$H$21</f>
        <v>972650</v>
      </c>
      <c r="G47">
        <f>'hypothesis '!$B$13*depreciation!$H$21</f>
        <v>972650</v>
      </c>
      <c r="H47">
        <f>'hypothesis '!$B$13*depreciation!$H$21</f>
        <v>972650</v>
      </c>
      <c r="I47">
        <f>'hypothesis '!$B$13*depreciation!$H$21</f>
        <v>972650</v>
      </c>
      <c r="J47">
        <f>'hypothesis '!$B$13*depreciation!$H$21</f>
        <v>972650</v>
      </c>
      <c r="K47">
        <f>'hypothesis '!$B$13*depreciation!$H$21</f>
        <v>972650</v>
      </c>
      <c r="L47">
        <f>'hypothesis '!$B$13*depreciation!$H$21</f>
        <v>972650</v>
      </c>
      <c r="M47">
        <f>'hypothesis '!$B$13*depreciation!$H$21</f>
        <v>972650</v>
      </c>
    </row>
    <row r="48" spans="1:13">
      <c r="A48" t="s">
        <v>68</v>
      </c>
      <c r="D48" s="2">
        <f>D44</f>
        <v>-190115.03730078251</v>
      </c>
      <c r="E48" s="2">
        <f>E44-E46-E47</f>
        <v>1512091.1534730066</v>
      </c>
      <c r="F48" s="2">
        <f>F44-F46-F47</f>
        <v>4444465.6685667261</v>
      </c>
      <c r="G48" s="2">
        <f>G44-G46-G47</f>
        <v>7825475.259452695</v>
      </c>
      <c r="H48" s="2">
        <f>H44-H46-H47</f>
        <v>11608592.880977254</v>
      </c>
      <c r="I48" s="2">
        <f>I44-I46-I47</f>
        <v>12239745.469741343</v>
      </c>
      <c r="J48" s="2">
        <f>J44-J46-J47</f>
        <v>12895550.162055995</v>
      </c>
      <c r="K48" s="2">
        <f>K44-K46-K47</f>
        <v>13576993.042063229</v>
      </c>
      <c r="L48" s="2">
        <f>L44-L46-L47</f>
        <v>13591843.042063229</v>
      </c>
      <c r="M48" s="2">
        <f>M44-M46-M47</f>
        <v>13606693.042063229</v>
      </c>
    </row>
    <row r="49" spans="1:13">
      <c r="A49" t="s">
        <v>69</v>
      </c>
      <c r="C49" s="10">
        <f>C20</f>
        <v>-140700000</v>
      </c>
      <c r="D49" s="2">
        <f>D48+D35</f>
        <v>8726384.9626992177</v>
      </c>
      <c r="E49" s="2">
        <f>E48+E35</f>
        <v>10428591.153473007</v>
      </c>
      <c r="F49" s="2">
        <f>F48+F35</f>
        <v>13360965.668566726</v>
      </c>
      <c r="G49" s="2">
        <f>G48+G35</f>
        <v>16741975.259452695</v>
      </c>
      <c r="H49" s="2">
        <f>H48+H35</f>
        <v>20525092.880977254</v>
      </c>
      <c r="I49" s="2">
        <f>I48+I35</f>
        <v>21156245.469741344</v>
      </c>
      <c r="J49" s="2">
        <f>J48+J35</f>
        <v>21812050.162055995</v>
      </c>
      <c r="K49" s="2">
        <f>K48+K35</f>
        <v>22493493.042063229</v>
      </c>
      <c r="L49" s="2">
        <f>L48+L35</f>
        <v>22508343.042063229</v>
      </c>
      <c r="M49" s="2">
        <f>M48+M35</f>
        <v>22523193.042063229</v>
      </c>
    </row>
    <row r="51" spans="1:13">
      <c r="A51" t="s">
        <v>70</v>
      </c>
      <c r="C51" s="10">
        <f>C49</f>
        <v>-140700000</v>
      </c>
      <c r="D51" s="2">
        <f>D49*(1+$G$4)^-D8</f>
        <v>7897180.9617187493</v>
      </c>
      <c r="E51" s="2">
        <f>E49*(1+$G$4)^-E8</f>
        <v>8540849.8216441162</v>
      </c>
      <c r="F51" s="2">
        <f>F49*(1+$G$4)^-F8</f>
        <v>9902640.5239546634</v>
      </c>
      <c r="G51" s="2">
        <f>G49*(1+$G$4)^-G8</f>
        <v>11229426.676577648</v>
      </c>
      <c r="H51" s="2">
        <f>H49*(1+$G$4)^-H8</f>
        <v>12458729.049893312</v>
      </c>
      <c r="I51" s="2">
        <f>I49*(1+$G$4)^-I8</f>
        <v>11621573.393357459</v>
      </c>
      <c r="J51" s="2">
        <f>J49*(1+$G$4)^-J8</f>
        <v>10843276.733469617</v>
      </c>
      <c r="K51" s="2">
        <f>K49*(1+$G$4)^-K8</f>
        <v>10119491.236235021</v>
      </c>
      <c r="L51" s="2">
        <f>L49*(1+$G$4)^-L8</f>
        <v>9163956.5905201212</v>
      </c>
      <c r="M51" s="2">
        <f>M49*(1+$G$4)^-M8</f>
        <v>8298644.8506905623</v>
      </c>
    </row>
    <row r="53" spans="1:13">
      <c r="C53" s="16"/>
    </row>
    <row r="55" spans="1:13">
      <c r="A55" s="18"/>
      <c r="B55" t="s">
        <v>71</v>
      </c>
      <c r="C55" s="16">
        <f>NPV(0.105,C51:M51)</f>
        <v>-73311221.601608679</v>
      </c>
      <c r="D55" s="2">
        <f>14*M51</f>
        <v>116181027.90966788</v>
      </c>
      <c r="E55" s="16">
        <f>C55+D55</f>
        <v>42869806.308059201</v>
      </c>
    </row>
    <row r="56" spans="1:13">
      <c r="A56" s="18"/>
      <c r="C56" s="3"/>
    </row>
    <row r="57" spans="1:13">
      <c r="A57" s="18"/>
    </row>
    <row r="58" spans="1:13">
      <c r="A58" s="18"/>
    </row>
    <row r="59" spans="1:13">
      <c r="A59" s="18"/>
    </row>
    <row r="60" spans="1:13">
      <c r="A60" s="18"/>
    </row>
  </sheetData>
  <mergeCells count="5">
    <mergeCell ref="A35:A43"/>
    <mergeCell ref="A8:A13"/>
    <mergeCell ref="A55:A60"/>
    <mergeCell ref="A23:A27"/>
    <mergeCell ref="A28:A3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1C9-BE91-445E-BE8D-7C187C94DED5}">
  <dimension ref="A2:W33"/>
  <sheetViews>
    <sheetView workbookViewId="0">
      <selection activeCell="I12" sqref="I12"/>
    </sheetView>
  </sheetViews>
  <sheetFormatPr defaultColWidth="19.140625" defaultRowHeight="15"/>
  <sheetData>
    <row r="2" spans="1:23">
      <c r="B2" t="s">
        <v>64</v>
      </c>
    </row>
    <row r="3" spans="1:23">
      <c r="A3" t="s">
        <v>72</v>
      </c>
      <c r="B3" t="s">
        <v>73</v>
      </c>
      <c r="G3" s="6" t="s">
        <v>17</v>
      </c>
      <c r="H3" s="6">
        <v>0</v>
      </c>
      <c r="I3">
        <f>H3+1</f>
        <v>1</v>
      </c>
      <c r="J3">
        <f>I3+1</f>
        <v>2</v>
      </c>
      <c r="K3">
        <f>J3+1</f>
        <v>3</v>
      </c>
      <c r="L3">
        <f>K3+1</f>
        <v>4</v>
      </c>
      <c r="M3">
        <f>L3+1</f>
        <v>5</v>
      </c>
      <c r="N3">
        <f>M3+1</f>
        <v>6</v>
      </c>
      <c r="O3">
        <f>N3+1</f>
        <v>7</v>
      </c>
      <c r="P3">
        <f>O3+1</f>
        <v>8</v>
      </c>
      <c r="Q3">
        <f>P3+1</f>
        <v>9</v>
      </c>
      <c r="R3">
        <f>Q3+1</f>
        <v>10</v>
      </c>
      <c r="S3">
        <f>R3+1</f>
        <v>11</v>
      </c>
      <c r="T3">
        <f>S3+1</f>
        <v>12</v>
      </c>
      <c r="U3">
        <f>T3+1</f>
        <v>13</v>
      </c>
      <c r="V3">
        <f>U3+1</f>
        <v>14</v>
      </c>
      <c r="W3">
        <f>V3+1</f>
        <v>15</v>
      </c>
    </row>
    <row r="4" spans="1:23">
      <c r="B4" t="s">
        <v>74</v>
      </c>
      <c r="C4" s="3">
        <v>0.06</v>
      </c>
      <c r="G4" s="6"/>
      <c r="H4" s="6"/>
    </row>
    <row r="5" spans="1:23">
      <c r="B5" t="s">
        <v>75</v>
      </c>
      <c r="C5" s="3">
        <v>7.0000000000000007E-2</v>
      </c>
      <c r="G5" s="6" t="s">
        <v>19</v>
      </c>
      <c r="H5" s="8">
        <v>132000000</v>
      </c>
      <c r="I5">
        <f>$H$5*$C$4</f>
        <v>7920000</v>
      </c>
      <c r="J5">
        <f>$H$5*$C$4</f>
        <v>7920000</v>
      </c>
      <c r="K5">
        <f>$H$5*$C$4</f>
        <v>7920000</v>
      </c>
      <c r="L5">
        <f>$H$5*$C$4</f>
        <v>7920000</v>
      </c>
      <c r="M5">
        <f>$H$5*$C$4</f>
        <v>7920000</v>
      </c>
      <c r="N5">
        <f>$H$5*$C$4</f>
        <v>7920000</v>
      </c>
      <c r="O5">
        <f>$H$5*$C$4</f>
        <v>7920000</v>
      </c>
      <c r="P5">
        <f>$H$5*$C$4</f>
        <v>7920000</v>
      </c>
      <c r="Q5">
        <f>$H$5*$C$4</f>
        <v>7920000</v>
      </c>
      <c r="R5">
        <f>$H$5*$C$4</f>
        <v>7920000</v>
      </c>
      <c r="S5">
        <f>$H$5*$C$4</f>
        <v>7920000</v>
      </c>
      <c r="T5">
        <f>$H$5*$C$4</f>
        <v>7920000</v>
      </c>
      <c r="U5">
        <f>$H$5*$C$4</f>
        <v>7920000</v>
      </c>
      <c r="V5">
        <f>$H$5*$C$4</f>
        <v>7920000</v>
      </c>
      <c r="W5">
        <f>$H$5*$C$4</f>
        <v>7920000</v>
      </c>
    </row>
    <row r="6" spans="1:23">
      <c r="B6" t="s">
        <v>76</v>
      </c>
      <c r="C6" s="3">
        <v>0.15</v>
      </c>
      <c r="G6" s="6" t="s">
        <v>77</v>
      </c>
      <c r="H6" s="8"/>
      <c r="I6" s="10">
        <f>H5-I5</f>
        <v>124080000</v>
      </c>
      <c r="J6" s="10">
        <f>I6-J5</f>
        <v>116160000</v>
      </c>
      <c r="K6" s="10">
        <f>J6-K5</f>
        <v>108240000</v>
      </c>
      <c r="L6" s="10">
        <f>K6-L5</f>
        <v>100320000</v>
      </c>
      <c r="M6" s="10">
        <f>L6-M5</f>
        <v>92400000</v>
      </c>
      <c r="N6" s="10">
        <f>M6-N5</f>
        <v>84480000</v>
      </c>
      <c r="O6" s="10">
        <f>N6-O5</f>
        <v>76560000</v>
      </c>
      <c r="P6" s="10">
        <f>O6-P5</f>
        <v>68640000</v>
      </c>
      <c r="Q6" s="10">
        <f>P6-Q5</f>
        <v>60720000</v>
      </c>
      <c r="R6" s="10">
        <f>Q6-R5</f>
        <v>52800000</v>
      </c>
      <c r="S6" s="10">
        <f>R6-S5</f>
        <v>44880000</v>
      </c>
      <c r="T6" s="10">
        <f>S6-T5</f>
        <v>36960000</v>
      </c>
      <c r="U6" s="10">
        <f>T6-U5</f>
        <v>29040000</v>
      </c>
      <c r="V6" s="10">
        <f>U6-V5</f>
        <v>21120000</v>
      </c>
      <c r="W6" s="10">
        <f>V6-W5</f>
        <v>13200000</v>
      </c>
    </row>
    <row r="7" spans="1:23">
      <c r="B7" t="s">
        <v>78</v>
      </c>
      <c r="C7" s="3">
        <v>0.15</v>
      </c>
      <c r="G7" s="6"/>
      <c r="H7" s="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>
      <c r="G8" s="6" t="s">
        <v>20</v>
      </c>
      <c r="H8" s="8">
        <v>2000000</v>
      </c>
      <c r="I8">
        <f>$H$8*$C$5</f>
        <v>140000</v>
      </c>
      <c r="J8">
        <f>$H$8*$C$5</f>
        <v>140000</v>
      </c>
      <c r="K8">
        <f>$H$8*$C$5</f>
        <v>140000</v>
      </c>
      <c r="L8">
        <f>$H$8*$C$5</f>
        <v>140000</v>
      </c>
      <c r="M8">
        <f>$H$8*$C$5</f>
        <v>140000</v>
      </c>
      <c r="N8">
        <f>$H$8*$C$5</f>
        <v>140000</v>
      </c>
      <c r="O8">
        <f>$H$8*$C$5</f>
        <v>140000</v>
      </c>
      <c r="P8">
        <f>$H$8*$C$5</f>
        <v>140000</v>
      </c>
      <c r="Q8">
        <f>$H$8*$C$5</f>
        <v>140000</v>
      </c>
      <c r="R8">
        <f>$H$8*$C$5</f>
        <v>140000</v>
      </c>
      <c r="S8">
        <f>$H$8*$C$5</f>
        <v>140000</v>
      </c>
      <c r="T8">
        <f>$H$8*$C$5</f>
        <v>140000</v>
      </c>
      <c r="U8">
        <f>$H$8*$C$5</f>
        <v>140000</v>
      </c>
      <c r="V8">
        <f>$H$8*$C$5</f>
        <v>140000</v>
      </c>
      <c r="W8">
        <f>$H$8*$C$5</f>
        <v>140000</v>
      </c>
    </row>
    <row r="9" spans="1:23">
      <c r="G9" s="6"/>
      <c r="H9" s="6"/>
    </row>
    <row r="10" spans="1:23">
      <c r="G10" s="6"/>
      <c r="H10" s="6"/>
    </row>
    <row r="11" spans="1:23">
      <c r="G11" s="6" t="s">
        <v>21</v>
      </c>
      <c r="H11" s="8">
        <v>1000000</v>
      </c>
      <c r="I11">
        <f>$H$11*$C$5</f>
        <v>70000</v>
      </c>
      <c r="J11">
        <f>$H$11*$C$5</f>
        <v>70000</v>
      </c>
      <c r="K11">
        <f>$H$11*$C$5</f>
        <v>70000</v>
      </c>
      <c r="L11">
        <f>$H$11*$C$5</f>
        <v>70000</v>
      </c>
      <c r="M11">
        <f>$H$11*$C$5</f>
        <v>70000</v>
      </c>
      <c r="N11">
        <f>$H$11*$C$5</f>
        <v>70000</v>
      </c>
      <c r="O11">
        <f>$H$11*$C$5</f>
        <v>70000</v>
      </c>
      <c r="P11">
        <f>$H$11*$C$5</f>
        <v>70000</v>
      </c>
      <c r="Q11">
        <f>$H$11*$C$5</f>
        <v>70000</v>
      </c>
      <c r="R11">
        <f>$H$11*$C$5</f>
        <v>70000</v>
      </c>
      <c r="S11">
        <f>$H$11*$C$5</f>
        <v>70000</v>
      </c>
      <c r="T11">
        <f>$H$11*$C$5</f>
        <v>70000</v>
      </c>
      <c r="U11">
        <f>$H$11*$C$5</f>
        <v>70000</v>
      </c>
      <c r="V11">
        <f>$H$11*$C$5</f>
        <v>70000</v>
      </c>
      <c r="W11">
        <f>$H$11*$C$5</f>
        <v>70000</v>
      </c>
    </row>
    <row r="12" spans="1:23">
      <c r="G12" s="6" t="s">
        <v>22</v>
      </c>
      <c r="H12" s="8">
        <v>1000000</v>
      </c>
      <c r="I12" s="12">
        <f>$H$12*$C$4</f>
        <v>60000</v>
      </c>
      <c r="J12" s="12">
        <f>$H$12*$C$4</f>
        <v>60000</v>
      </c>
      <c r="K12" s="12">
        <f>$H$12*$C$4</f>
        <v>60000</v>
      </c>
      <c r="L12" s="12">
        <f>$H$12*$C$4</f>
        <v>60000</v>
      </c>
      <c r="M12" s="12">
        <f>$H$12*$C$4</f>
        <v>60000</v>
      </c>
      <c r="N12" s="12">
        <f>$H$12*$C$4</f>
        <v>60000</v>
      </c>
      <c r="O12" s="12">
        <f>$H$12*$C$4</f>
        <v>60000</v>
      </c>
      <c r="P12" s="12">
        <f>$H$12*$C$4</f>
        <v>60000</v>
      </c>
      <c r="Q12" s="12">
        <f>$H$12*$C$4</f>
        <v>60000</v>
      </c>
      <c r="R12" s="12">
        <f>$H$12*$C$4</f>
        <v>60000</v>
      </c>
      <c r="S12" s="12">
        <f>$H$12*$C$4</f>
        <v>60000</v>
      </c>
      <c r="T12" s="12">
        <f>$H$12*$C$4</f>
        <v>60000</v>
      </c>
      <c r="U12" s="12">
        <f>$H$12*$C$4</f>
        <v>60000</v>
      </c>
      <c r="V12" s="12">
        <f>$H$12*$C$4</f>
        <v>60000</v>
      </c>
      <c r="W12" s="12">
        <f>$H$12*$C$4</f>
        <v>60000</v>
      </c>
    </row>
    <row r="13" spans="1:23">
      <c r="G13" s="6" t="s">
        <v>23</v>
      </c>
      <c r="H13" s="8">
        <v>1000000</v>
      </c>
      <c r="I13">
        <f>$H$13*$C$5</f>
        <v>70000</v>
      </c>
      <c r="J13">
        <f>$H$13*$C$5</f>
        <v>70000</v>
      </c>
      <c r="K13">
        <f>$H$13*$C$5</f>
        <v>70000</v>
      </c>
      <c r="L13">
        <f>$H$13*$C$5</f>
        <v>70000</v>
      </c>
      <c r="M13">
        <f>$H$13*$C$5</f>
        <v>70000</v>
      </c>
      <c r="N13">
        <f>$H$13*$C$5</f>
        <v>70000</v>
      </c>
      <c r="O13">
        <f>$H$13*$C$5</f>
        <v>70000</v>
      </c>
      <c r="P13">
        <f>$H$13*$C$5</f>
        <v>70000</v>
      </c>
      <c r="Q13">
        <f>$H$13*$C$5</f>
        <v>70000</v>
      </c>
      <c r="R13">
        <f>$H$13*$C$5</f>
        <v>70000</v>
      </c>
      <c r="S13">
        <f>$H$13*$C$5</f>
        <v>70000</v>
      </c>
      <c r="T13">
        <f>$H$13*$C$5</f>
        <v>70000</v>
      </c>
      <c r="U13">
        <f>$H$13*$C$5</f>
        <v>70000</v>
      </c>
      <c r="V13">
        <f>$H$13*$C$5</f>
        <v>70000</v>
      </c>
      <c r="W13">
        <f>$H$13*$C$5</f>
        <v>70000</v>
      </c>
    </row>
    <row r="14" spans="1:23">
      <c r="G14" s="6" t="s">
        <v>24</v>
      </c>
      <c r="H14" s="8">
        <v>700000</v>
      </c>
      <c r="I14">
        <f>$H$14*$C$5</f>
        <v>49000.000000000007</v>
      </c>
      <c r="J14">
        <f>$H$14*$C$5</f>
        <v>49000.000000000007</v>
      </c>
      <c r="K14">
        <f>$H$14*$C$5</f>
        <v>49000.000000000007</v>
      </c>
      <c r="L14">
        <f>$H$14*$C$5</f>
        <v>49000.000000000007</v>
      </c>
      <c r="M14">
        <f>$H$14*$C$5</f>
        <v>49000.000000000007</v>
      </c>
      <c r="N14">
        <f>$H$14*$C$5</f>
        <v>49000.000000000007</v>
      </c>
      <c r="O14">
        <f>$H$14*$C$5</f>
        <v>49000.000000000007</v>
      </c>
      <c r="P14">
        <f>$H$14*$C$5</f>
        <v>49000.000000000007</v>
      </c>
      <c r="Q14">
        <f>$H$14*$C$5</f>
        <v>49000.000000000007</v>
      </c>
      <c r="R14">
        <f>$H$14*$C$5</f>
        <v>49000.000000000007</v>
      </c>
      <c r="S14">
        <f>$H$14*$C$5</f>
        <v>49000.000000000007</v>
      </c>
      <c r="T14">
        <f>$H$14*$C$5</f>
        <v>49000.000000000007</v>
      </c>
      <c r="U14">
        <f>$H$14*$C$5</f>
        <v>49000.000000000007</v>
      </c>
      <c r="V14">
        <f>$H$14*$C$5</f>
        <v>49000.000000000007</v>
      </c>
      <c r="W14">
        <f>$H$14*$C$5</f>
        <v>49000.000000000007</v>
      </c>
    </row>
    <row r="15" spans="1:23">
      <c r="G15" s="6"/>
      <c r="H15" s="6"/>
    </row>
    <row r="16" spans="1:23">
      <c r="G16" s="6" t="s">
        <v>25</v>
      </c>
      <c r="H16" s="8">
        <v>1250000</v>
      </c>
      <c r="I16">
        <f>$H$16*$C$6</f>
        <v>187500</v>
      </c>
      <c r="J16">
        <f>$H$16*$C$6</f>
        <v>187500</v>
      </c>
      <c r="K16">
        <f>$H$16*$C$6</f>
        <v>187500</v>
      </c>
      <c r="L16">
        <f>$H$16*$C$6</f>
        <v>187500</v>
      </c>
      <c r="M16">
        <f>$H$16*$C$6</f>
        <v>187500</v>
      </c>
      <c r="N16">
        <f>$H$16*$C$6</f>
        <v>187500</v>
      </c>
      <c r="O16">
        <f>$H$16*$C$6</f>
        <v>187500</v>
      </c>
      <c r="P16">
        <f>$H$16*$C$6</f>
        <v>187500</v>
      </c>
      <c r="Q16">
        <f>$H$16*$C$6</f>
        <v>187500</v>
      </c>
      <c r="R16">
        <f>$H$16*$C$6</f>
        <v>187500</v>
      </c>
      <c r="S16">
        <f>$H$16*$C$6</f>
        <v>187500</v>
      </c>
      <c r="T16">
        <f>$H$16*$C$6</f>
        <v>187500</v>
      </c>
      <c r="U16">
        <f>$H$16*$C$6</f>
        <v>187500</v>
      </c>
      <c r="V16">
        <f>$H$16*$C$6</f>
        <v>187500</v>
      </c>
      <c r="W16">
        <f>$H$16*$C$6</f>
        <v>187500</v>
      </c>
    </row>
    <row r="17" spans="7:23">
      <c r="G17" s="6" t="s">
        <v>26</v>
      </c>
      <c r="H17" s="8">
        <v>300000</v>
      </c>
      <c r="I17">
        <f>$H$17*$C$6</f>
        <v>45000</v>
      </c>
      <c r="J17">
        <f>$H$17*$C$6</f>
        <v>45000</v>
      </c>
      <c r="K17">
        <f>$H$17*$C$6</f>
        <v>45000</v>
      </c>
      <c r="L17">
        <f>$H$17*$C$6</f>
        <v>45000</v>
      </c>
      <c r="M17">
        <f>$H$17*$C$6</f>
        <v>45000</v>
      </c>
      <c r="N17">
        <f>$H$17*$C$6</f>
        <v>45000</v>
      </c>
      <c r="O17">
        <f>$H$17*$C$6</f>
        <v>45000</v>
      </c>
      <c r="P17">
        <f>$H$17*$C$6</f>
        <v>45000</v>
      </c>
      <c r="Q17">
        <f>$H$17*$C$6</f>
        <v>45000</v>
      </c>
      <c r="R17">
        <f>$H$17*$C$6</f>
        <v>45000</v>
      </c>
      <c r="S17">
        <f>$H$17*$C$6</f>
        <v>45000</v>
      </c>
      <c r="T17">
        <f>$H$17*$C$6</f>
        <v>45000</v>
      </c>
      <c r="U17">
        <f>$H$17*$C$6</f>
        <v>45000</v>
      </c>
      <c r="V17">
        <f>$H$17*$C$6</f>
        <v>45000</v>
      </c>
      <c r="W17">
        <f>$H$17*$C$6</f>
        <v>45000</v>
      </c>
    </row>
    <row r="18" spans="7:23">
      <c r="G18" s="6" t="s">
        <v>27</v>
      </c>
      <c r="H18" s="8">
        <v>600000</v>
      </c>
      <c r="I18">
        <f>$H$18*$C$6</f>
        <v>90000</v>
      </c>
      <c r="J18">
        <f>$H$18*$C$6</f>
        <v>90000</v>
      </c>
      <c r="K18">
        <f>$H$18*$C$6</f>
        <v>90000</v>
      </c>
      <c r="L18">
        <f>$H$18*$C$6</f>
        <v>90000</v>
      </c>
      <c r="M18">
        <f>$H$18*$C$6</f>
        <v>90000</v>
      </c>
      <c r="N18">
        <f>$H$18*$C$6</f>
        <v>90000</v>
      </c>
      <c r="O18">
        <f>$H$18*$C$6</f>
        <v>90000</v>
      </c>
      <c r="P18">
        <f>$H$18*$C$6</f>
        <v>90000</v>
      </c>
      <c r="Q18">
        <f>$H$18*$C$6</f>
        <v>90000</v>
      </c>
      <c r="R18">
        <f>$H$18*$C$6</f>
        <v>90000</v>
      </c>
      <c r="S18">
        <f>$H$18*$C$6</f>
        <v>90000</v>
      </c>
      <c r="T18">
        <f>$H$18*$C$6</f>
        <v>90000</v>
      </c>
      <c r="U18">
        <f>$H$18*$C$6</f>
        <v>90000</v>
      </c>
      <c r="V18">
        <f>$H$18*$C$6</f>
        <v>90000</v>
      </c>
      <c r="W18">
        <f>$H$18*$C$6</f>
        <v>90000</v>
      </c>
    </row>
    <row r="19" spans="7:23">
      <c r="G19" s="6" t="s">
        <v>28</v>
      </c>
      <c r="H19" s="8">
        <v>100000</v>
      </c>
      <c r="I19">
        <f>$H$19*$C$6</f>
        <v>15000</v>
      </c>
      <c r="J19">
        <f>$H$19*$C$6</f>
        <v>15000</v>
      </c>
      <c r="K19">
        <f>$H$19*$C$6</f>
        <v>15000</v>
      </c>
      <c r="L19">
        <f>$H$19*$C$6</f>
        <v>15000</v>
      </c>
      <c r="M19">
        <f>$H$19*$C$6</f>
        <v>15000</v>
      </c>
      <c r="N19">
        <f>$H$19*$C$6</f>
        <v>15000</v>
      </c>
      <c r="O19">
        <f>$H$19*$C$6</f>
        <v>15000</v>
      </c>
      <c r="P19">
        <f>$H$19*$C$6</f>
        <v>15000</v>
      </c>
      <c r="Q19">
        <f>$H$19*$C$6</f>
        <v>15000</v>
      </c>
      <c r="R19">
        <f>$H$19*$C$6</f>
        <v>15000</v>
      </c>
      <c r="S19">
        <f>$H$19*$C$6</f>
        <v>15000</v>
      </c>
      <c r="T19">
        <f>$H$19*$C$6</f>
        <v>15000</v>
      </c>
      <c r="U19">
        <f>$H$19*$C$6</f>
        <v>15000</v>
      </c>
      <c r="V19">
        <f>$H$19*$C$6</f>
        <v>15000</v>
      </c>
      <c r="W19">
        <f>$H$19*$C$6</f>
        <v>15000</v>
      </c>
    </row>
    <row r="20" spans="7:23">
      <c r="G20" s="6" t="s">
        <v>32</v>
      </c>
      <c r="H20" s="8">
        <v>50000</v>
      </c>
      <c r="I20">
        <f>$H$20*$C$6</f>
        <v>7500</v>
      </c>
      <c r="J20">
        <f>$H$20*$C$6</f>
        <v>7500</v>
      </c>
      <c r="K20">
        <f>$H$20*$C$6</f>
        <v>7500</v>
      </c>
      <c r="L20">
        <f>$H$20*$C$6</f>
        <v>7500</v>
      </c>
      <c r="M20">
        <f>$H$20*$C$6</f>
        <v>7500</v>
      </c>
      <c r="N20">
        <f>$H$20*$C$6</f>
        <v>7500</v>
      </c>
      <c r="O20">
        <f>$H$20*$C$6</f>
        <v>7500</v>
      </c>
      <c r="P20">
        <f>$H$20*$C$6</f>
        <v>7500</v>
      </c>
      <c r="Q20">
        <f>$H$20*$C$6</f>
        <v>7500</v>
      </c>
      <c r="R20">
        <f>$H$20*$C$6</f>
        <v>7500</v>
      </c>
      <c r="S20">
        <f>$H$20*$C$6</f>
        <v>7500</v>
      </c>
      <c r="T20">
        <f>$H$20*$C$6</f>
        <v>7500</v>
      </c>
      <c r="U20">
        <f>$H$20*$C$6</f>
        <v>7500</v>
      </c>
      <c r="V20">
        <f>$H$20*$C$6</f>
        <v>7500</v>
      </c>
      <c r="W20">
        <f>$H$20*$C$6</f>
        <v>7500</v>
      </c>
    </row>
    <row r="21" spans="7:23">
      <c r="G21" s="7" t="s">
        <v>30</v>
      </c>
      <c r="H21" s="9">
        <v>138950000</v>
      </c>
    </row>
    <row r="22" spans="7:23">
      <c r="G22" s="6"/>
      <c r="H22" s="6"/>
    </row>
    <row r="23" spans="7:23">
      <c r="G23" s="7" t="s">
        <v>31</v>
      </c>
      <c r="H23" s="6"/>
    </row>
    <row r="24" spans="7:23">
      <c r="G24" s="6"/>
      <c r="H24" s="6"/>
    </row>
    <row r="25" spans="7:23">
      <c r="G25" s="6"/>
      <c r="H25" s="6"/>
    </row>
    <row r="26" spans="7:23">
      <c r="G26" s="6"/>
      <c r="H26" s="6"/>
    </row>
    <row r="27" spans="7:23">
      <c r="G27" s="6"/>
      <c r="H27" s="6"/>
    </row>
    <row r="28" spans="7:23">
      <c r="G28" s="6"/>
    </row>
    <row r="29" spans="7:23">
      <c r="G29" s="6"/>
      <c r="H29" s="6"/>
    </row>
    <row r="30" spans="7:23">
      <c r="G30" s="6" t="s">
        <v>36</v>
      </c>
      <c r="H30" s="6"/>
    </row>
    <row r="31" spans="7:23">
      <c r="G31" s="6" t="s">
        <v>29</v>
      </c>
      <c r="H31" s="13">
        <v>1750000</v>
      </c>
      <c r="I31">
        <f>$H$31*$C$6</f>
        <v>262500</v>
      </c>
      <c r="J31">
        <f>$H$31*$C$6</f>
        <v>262500</v>
      </c>
      <c r="K31">
        <f>$H$31*$C$6</f>
        <v>262500</v>
      </c>
      <c r="L31">
        <f>$H$31*$C$6</f>
        <v>262500</v>
      </c>
      <c r="M31">
        <f>$H$31*$C$6</f>
        <v>262500</v>
      </c>
      <c r="N31">
        <f>$H$31*$C$6</f>
        <v>262500</v>
      </c>
      <c r="O31">
        <f>$H$31*$C$6</f>
        <v>262500</v>
      </c>
      <c r="P31">
        <f>$H$31*$C$6</f>
        <v>262500</v>
      </c>
      <c r="Q31">
        <f>$H$31*$C$6</f>
        <v>262500</v>
      </c>
      <c r="R31">
        <f>$H$31*$C$6</f>
        <v>262500</v>
      </c>
      <c r="S31">
        <f>$H$31*$C$6</f>
        <v>262500</v>
      </c>
      <c r="T31">
        <f>$H$31*$C$6</f>
        <v>262500</v>
      </c>
      <c r="U31">
        <f>$H$31*$C$6</f>
        <v>262500</v>
      </c>
      <c r="V31">
        <f>$H$31*$C$6</f>
        <v>262500</v>
      </c>
      <c r="W31">
        <f>$H$31*$C$6</f>
        <v>262500</v>
      </c>
    </row>
    <row r="33" spans="7:23">
      <c r="G33" t="s">
        <v>79</v>
      </c>
      <c r="I33">
        <f>SUM(I5,I8,I11,I12,I13,I14,I16,I17,I18,I19,I20,I30,I31,I28,I27,I26,I25,I23,I29)</f>
        <v>8916500</v>
      </c>
      <c r="J33">
        <f>SUM(J5,J8,J11,J12,J13,J14,J16,J17,J18,J19,J20,J30,J31,J28,J27,J26,J25,J23,J29)</f>
        <v>8916500</v>
      </c>
      <c r="K33">
        <f>SUM(K5,K8,K11,K12,K13,K14,K16,K17,K18,K19,K20,K30,K31,K28,K27,K26,K25,K23,K29)</f>
        <v>8916500</v>
      </c>
      <c r="L33">
        <f>SUM(L5,L8,L11,L12,L13,L14,L16,L17,L18,L19,L20,L30,L31,L28,L27,L26,L25,L23,L29)</f>
        <v>8916500</v>
      </c>
      <c r="M33">
        <f>SUM(M5,M8,M11,M12,M13,M14,M16,M17,M18,M19,M20,M30,M31,M28,M27,M26,M25,M23,M29)</f>
        <v>8916500</v>
      </c>
      <c r="N33">
        <f>SUM(N5,N8,N11,N12,N13,N14,N16,N17,N18,N19,N20,N30,N31,N28,N27,N26,N25,N23,N29)</f>
        <v>8916500</v>
      </c>
      <c r="O33">
        <f>SUM(O5,O8,O11,O12,O13,O14,O16,O17,O18,O19,O20,O30,O31,O28,O27,O26,O25,O23,O29)</f>
        <v>8916500</v>
      </c>
      <c r="P33">
        <f>SUM(P5,P8,P11,P12,P13,P14,P16,P17,P18,P19,P20,P30,P31,P28,P27,P26,P25,P23,P29)</f>
        <v>8916500</v>
      </c>
      <c r="Q33">
        <f>SUM(Q5,Q8,Q11,Q12,Q13,Q14,Q16,Q17,Q18,Q19,Q20,Q30,Q31,Q28,Q27,Q26,Q25,Q23,Q29)</f>
        <v>8916500</v>
      </c>
      <c r="R33">
        <f>SUM(R5,R8,R11,R12,R13,R14,R16,R17,R18,R19,R20,R30,R31,R28,R27,R26,R25,R23,R29)</f>
        <v>8916500</v>
      </c>
      <c r="S33">
        <f>SUM(S5,S8,S11,S12,S13,S14,S16,S17,S18,S19,S20,S30,S31,S28,S27,S26,S25,S23,S29)</f>
        <v>8916500</v>
      </c>
      <c r="T33">
        <f>SUM(T5,T8,T11,T12,T13,T14,T16,T17,T18,T19,T20,T30,T31,T28,T27,T26,T25,T23,T29)</f>
        <v>8916500</v>
      </c>
      <c r="U33">
        <f>SUM(U5,U8,U11,U12,U13,U14,U16,U17,U18,U19,U20,U30,U31,U28,U27,U26,U25,U23,U29)</f>
        <v>8916500</v>
      </c>
      <c r="V33">
        <f>SUM(V5,V8,V11,V12,V13,V14,V16,V17,V18,V19,V20,V30,V31,V28,V27,V26,V25,V23,V29)</f>
        <v>8916500</v>
      </c>
      <c r="W33">
        <f>SUM(W5,W8,W11,W12,W13,W14,W16,W17,W18,W19,W20,W30,W31,W28,W27,W26,W25,W23,W29)</f>
        <v>8916500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F396-9848-4337-8797-EB350F42AF1B}">
  <dimension ref="C2:T24"/>
  <sheetViews>
    <sheetView workbookViewId="0">
      <selection activeCell="G23" sqref="G23"/>
    </sheetView>
  </sheetViews>
  <sheetFormatPr defaultRowHeight="15"/>
  <cols>
    <col min="3" max="3" width="59.5703125" bestFit="1" customWidth="1"/>
    <col min="15" max="15" width="13.7109375" customWidth="1"/>
    <col min="20" max="20" width="14.140625" bestFit="1" customWidth="1"/>
    <col min="23" max="23" width="7.85546875" bestFit="1" customWidth="1"/>
    <col min="24" max="24" width="14.85546875" bestFit="1" customWidth="1"/>
  </cols>
  <sheetData>
    <row r="2" spans="3:20">
      <c r="O2" t="s">
        <v>80</v>
      </c>
    </row>
    <row r="3" spans="3:20">
      <c r="N3" t="s">
        <v>81</v>
      </c>
      <c r="O3">
        <v>78</v>
      </c>
    </row>
    <row r="4" spans="3:20">
      <c r="N4" t="s">
        <v>82</v>
      </c>
      <c r="O4">
        <v>24</v>
      </c>
    </row>
    <row r="5" spans="3:20">
      <c r="N5" t="s">
        <v>83</v>
      </c>
      <c r="O5">
        <v>12</v>
      </c>
    </row>
    <row r="6" spans="3:20">
      <c r="N6" t="s">
        <v>84</v>
      </c>
      <c r="O6">
        <v>2</v>
      </c>
    </row>
    <row r="8" spans="3:20">
      <c r="N8" t="s">
        <v>85</v>
      </c>
      <c r="O8" t="s">
        <v>86</v>
      </c>
      <c r="P8" t="s">
        <v>87</v>
      </c>
      <c r="Q8" t="s">
        <v>88</v>
      </c>
      <c r="R8" t="s">
        <v>89</v>
      </c>
      <c r="S8" t="s">
        <v>39</v>
      </c>
      <c r="T8" t="s">
        <v>90</v>
      </c>
    </row>
    <row r="9" spans="3:20">
      <c r="N9" t="s">
        <v>91</v>
      </c>
      <c r="O9">
        <v>95</v>
      </c>
      <c r="P9">
        <v>225</v>
      </c>
      <c r="Q9">
        <v>394</v>
      </c>
      <c r="R9">
        <f>(Q9+P9+O9)/3</f>
        <v>238</v>
      </c>
      <c r="S9">
        <v>0.2</v>
      </c>
      <c r="T9">
        <f>R9*S9</f>
        <v>47.6</v>
      </c>
    </row>
    <row r="10" spans="3:20">
      <c r="N10" t="s">
        <v>92</v>
      </c>
      <c r="O10">
        <v>153</v>
      </c>
      <c r="P10">
        <v>300</v>
      </c>
      <c r="Q10">
        <v>394</v>
      </c>
      <c r="R10">
        <f t="shared" ref="R10:R15" si="0">(Q10+P10+O10)/3</f>
        <v>282.33333333333331</v>
      </c>
      <c r="S10">
        <v>0.4</v>
      </c>
      <c r="T10">
        <f>R10*S10</f>
        <v>112.93333333333334</v>
      </c>
    </row>
    <row r="11" spans="3:20">
      <c r="N11" t="s">
        <v>93</v>
      </c>
      <c r="O11">
        <v>163</v>
      </c>
      <c r="P11">
        <v>356</v>
      </c>
      <c r="Q11">
        <v>506</v>
      </c>
      <c r="R11">
        <f>(Q11+P11+O11)/3</f>
        <v>341.66666666666669</v>
      </c>
      <c r="S11">
        <v>0.6</v>
      </c>
      <c r="T11">
        <f t="shared" ref="T10:T15" si="1">R11*S11</f>
        <v>205</v>
      </c>
    </row>
    <row r="12" spans="3:20">
      <c r="N12" t="s">
        <v>94</v>
      </c>
      <c r="O12">
        <v>250</v>
      </c>
      <c r="P12">
        <v>525</v>
      </c>
      <c r="Q12">
        <v>750</v>
      </c>
      <c r="R12">
        <f t="shared" si="0"/>
        <v>508.33333333333331</v>
      </c>
      <c r="S12">
        <v>0.75</v>
      </c>
      <c r="T12">
        <f t="shared" si="1"/>
        <v>381.25</v>
      </c>
    </row>
    <row r="13" spans="3:20">
      <c r="C13" s="19" t="s">
        <v>95</v>
      </c>
      <c r="N13" t="s">
        <v>96</v>
      </c>
      <c r="O13">
        <v>250</v>
      </c>
      <c r="P13">
        <v>525</v>
      </c>
      <c r="Q13">
        <v>750</v>
      </c>
      <c r="R13">
        <f t="shared" si="0"/>
        <v>508.33333333333331</v>
      </c>
      <c r="S13">
        <v>0.9</v>
      </c>
      <c r="T13">
        <f t="shared" si="1"/>
        <v>457.5</v>
      </c>
    </row>
    <row r="14" spans="3:20">
      <c r="C14" s="19"/>
      <c r="N14" t="s">
        <v>97</v>
      </c>
      <c r="O14">
        <v>183</v>
      </c>
      <c r="P14">
        <v>356</v>
      </c>
      <c r="Q14">
        <v>506</v>
      </c>
      <c r="R14">
        <f t="shared" si="0"/>
        <v>348.33333333333331</v>
      </c>
      <c r="S14">
        <v>0.5</v>
      </c>
      <c r="T14">
        <f t="shared" si="1"/>
        <v>174.16666666666666</v>
      </c>
    </row>
    <row r="15" spans="3:20">
      <c r="C15" s="19"/>
      <c r="N15" t="s">
        <v>98</v>
      </c>
      <c r="O15">
        <v>95</v>
      </c>
      <c r="P15">
        <v>225</v>
      </c>
      <c r="Q15">
        <v>394</v>
      </c>
      <c r="R15">
        <f t="shared" si="0"/>
        <v>238</v>
      </c>
      <c r="S15">
        <v>0.35</v>
      </c>
      <c r="T15">
        <f t="shared" si="1"/>
        <v>83.3</v>
      </c>
    </row>
    <row r="16" spans="3:20">
      <c r="C16" s="19"/>
      <c r="R16">
        <f>(R9+R10+R11+R12+R13+R14+R15)/6</f>
        <v>410.83333333333331</v>
      </c>
      <c r="S16">
        <f>(S9+S10+S11+S12+S13+S14+S15)/6</f>
        <v>0.6166666666666667</v>
      </c>
    </row>
    <row r="17" spans="3:20">
      <c r="C17" s="19"/>
      <c r="S17" t="s">
        <v>99</v>
      </c>
      <c r="T17">
        <f>SUM(T9:T15)/6</f>
        <v>243.625</v>
      </c>
    </row>
    <row r="19" spans="3:20">
      <c r="D19" s="14">
        <v>1</v>
      </c>
      <c r="E19" s="14">
        <v>2</v>
      </c>
      <c r="F19" s="14">
        <v>3</v>
      </c>
      <c r="G19" s="14">
        <v>4</v>
      </c>
      <c r="H19" s="14">
        <v>5</v>
      </c>
    </row>
    <row r="20" spans="3:20">
      <c r="C20" s="14" t="s">
        <v>100</v>
      </c>
      <c r="D20" s="15">
        <v>0.35</v>
      </c>
      <c r="E20" s="15">
        <f>D20+0.0728</f>
        <v>0.42279999999999995</v>
      </c>
      <c r="F20" s="15">
        <f>E20+0.0728</f>
        <v>0.49559999999999993</v>
      </c>
      <c r="G20" s="15">
        <f>F20+0.0728</f>
        <v>0.56839999999999991</v>
      </c>
      <c r="H20" s="15">
        <f>G20+0.0728</f>
        <v>0.64119999999999988</v>
      </c>
    </row>
    <row r="21" spans="3:20">
      <c r="C21" s="14" t="s">
        <v>101</v>
      </c>
      <c r="D21" s="14">
        <f>$R16</f>
        <v>410.83333333333331</v>
      </c>
      <c r="E21" s="14">
        <f t="shared" ref="E21:M21" si="2">$R16</f>
        <v>410.83333333333331</v>
      </c>
      <c r="F21" s="14">
        <f t="shared" si="2"/>
        <v>410.83333333333331</v>
      </c>
      <c r="G21" s="14">
        <f t="shared" si="2"/>
        <v>410.83333333333331</v>
      </c>
      <c r="H21" s="14">
        <f t="shared" si="2"/>
        <v>410.83333333333331</v>
      </c>
    </row>
    <row r="22" spans="3:20">
      <c r="C22" s="14" t="s">
        <v>102</v>
      </c>
      <c r="D22" s="14">
        <f>D21*D20</f>
        <v>143.79166666666666</v>
      </c>
      <c r="E22" s="14">
        <f t="shared" ref="E22:H22" si="3">E21*E20</f>
        <v>173.7003333333333</v>
      </c>
      <c r="F22" s="14">
        <f t="shared" si="3"/>
        <v>203.60899999999995</v>
      </c>
      <c r="G22" s="14">
        <f t="shared" si="3"/>
        <v>233.51766666666663</v>
      </c>
      <c r="H22" s="14">
        <f t="shared" si="3"/>
        <v>263.42633333333328</v>
      </c>
    </row>
    <row r="24" spans="3:20">
      <c r="C24" t="s">
        <v>103</v>
      </c>
    </row>
  </sheetData>
  <mergeCells count="1">
    <mergeCell ref="C13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9EDC-8FAC-40FC-99E2-AF799C1B2F3C}">
  <dimension ref="A1"/>
  <sheetViews>
    <sheetView topLeftCell="A2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F74A11F61E6F4CB4339410B425762B" ma:contentTypeVersion="9" ma:contentTypeDescription="Create a new document." ma:contentTypeScope="" ma:versionID="25138000ad2cba267cb529f573ccc749">
  <xsd:schema xmlns:xsd="http://www.w3.org/2001/XMLSchema" xmlns:xs="http://www.w3.org/2001/XMLSchema" xmlns:p="http://schemas.microsoft.com/office/2006/metadata/properties" xmlns:ns3="8ec1ca33-8168-4450-9eb0-04dd5c0a1a8c" xmlns:ns4="ee8294d5-6654-4a72-aec9-a1f39cb1f2e9" targetNamespace="http://schemas.microsoft.com/office/2006/metadata/properties" ma:root="true" ma:fieldsID="9f424c743c5ca5e6ac4aed0d473ccd29" ns3:_="" ns4:_="">
    <xsd:import namespace="8ec1ca33-8168-4450-9eb0-04dd5c0a1a8c"/>
    <xsd:import namespace="ee8294d5-6654-4a72-aec9-a1f39cb1f2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1ca33-8168-4450-9eb0-04dd5c0a1a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294d5-6654-4a72-aec9-a1f39cb1f2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B566E9-E875-4667-BA51-7347A9A65C68}"/>
</file>

<file path=customXml/itemProps2.xml><?xml version="1.0" encoding="utf-8"?>
<ds:datastoreItem xmlns:ds="http://schemas.openxmlformats.org/officeDocument/2006/customXml" ds:itemID="{BA5ECD67-3360-488B-8C18-4E973272C506}"/>
</file>

<file path=customXml/itemProps3.xml><?xml version="1.0" encoding="utf-8"?>
<ds:datastoreItem xmlns:ds="http://schemas.openxmlformats.org/officeDocument/2006/customXml" ds:itemID="{A9735FE0-9209-43DC-A86D-F171CA349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Bienvenue!</dc:creator>
  <cp:keywords/>
  <dc:description/>
  <cp:lastModifiedBy/>
  <cp:revision/>
  <dcterms:created xsi:type="dcterms:W3CDTF">2020-09-17T07:18:42Z</dcterms:created>
  <dcterms:modified xsi:type="dcterms:W3CDTF">2020-09-17T12:08:50Z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0x0101006CF74A11F61E6F4CB4339410B425762B</vt:lpwstr>
  </property>
</Properties>
</file>