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OneDrive copy\ESSCA\Advanced Corporate FInance\Part 2 - Capital structure\"/>
    </mc:Choice>
  </mc:AlternateContent>
  <xr:revisionPtr revIDLastSave="0" documentId="13_ncr:1_{D83C511F-63C4-4AB1-93E1-559DC6249E06}" xr6:coauthVersionLast="45" xr6:coauthVersionMax="45" xr10:uidLastSave="{00000000-0000-0000-0000-000000000000}"/>
  <bookViews>
    <workbookView xWindow="-110" yWindow="-110" windowWidth="25820" windowHeight="14020" activeTab="4" xr2:uid="{00000000-000D-0000-FFFF-FFFF00000000}"/>
  </bookViews>
  <sheets>
    <sheet name="Country premia" sheetId="2" r:id="rId1"/>
    <sheet name="Ratings 2020" sheetId="3" r:id="rId2"/>
    <sheet name="Risk premium" sheetId="4" r:id="rId3"/>
    <sheet name="Levering example" sheetId="5" r:id="rId4"/>
    <sheet name="Disney Bottom Up betas" sheetId="7" r:id="rId5"/>
  </sheets>
  <externalReferences>
    <externalReference r:id="rId6"/>
  </externalReferences>
  <calcPr calcId="191029" iterate="1" iterateCount="1000" iterateDelta="9.9999999999994494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4" i="7" l="1"/>
  <c r="W5" i="7"/>
  <c r="W6" i="7"/>
  <c r="W7" i="7"/>
  <c r="W8" i="7"/>
  <c r="W9" i="7"/>
  <c r="W10" i="7"/>
  <c r="W11" i="7"/>
  <c r="W12" i="7"/>
  <c r="W13" i="7"/>
  <c r="W16" i="7"/>
  <c r="Y16" i="7"/>
  <c r="Z16" i="7"/>
  <c r="G16" i="7"/>
  <c r="G19" i="7"/>
  <c r="D21" i="7"/>
  <c r="C44" i="7"/>
  <c r="C10" i="7"/>
  <c r="C11" i="7"/>
  <c r="H34" i="7"/>
  <c r="E44" i="7"/>
  <c r="F44" i="7"/>
  <c r="F11" i="7"/>
  <c r="G44" i="7"/>
  <c r="S4" i="7"/>
  <c r="AA13" i="7"/>
  <c r="F50" i="7"/>
  <c r="C22" i="7"/>
  <c r="C23" i="7"/>
  <c r="D23" i="7"/>
  <c r="C49" i="7"/>
  <c r="C50" i="7"/>
  <c r="F14" i="7"/>
  <c r="V4" i="7"/>
  <c r="V12" i="7"/>
  <c r="AA12" i="7"/>
  <c r="D16" i="7"/>
  <c r="E14" i="7"/>
  <c r="E34" i="7"/>
  <c r="E30" i="7"/>
  <c r="G30" i="7"/>
  <c r="H30" i="7"/>
  <c r="E40" i="7"/>
  <c r="F40" i="7"/>
  <c r="G40" i="7"/>
  <c r="C41" i="7"/>
  <c r="E16" i="7"/>
  <c r="F31" i="7"/>
  <c r="E31" i="7"/>
  <c r="G31" i="7"/>
  <c r="H31" i="7"/>
  <c r="E41" i="7"/>
  <c r="F41" i="7"/>
  <c r="G41" i="7"/>
  <c r="E32" i="7"/>
  <c r="G32" i="7"/>
  <c r="H32" i="7"/>
  <c r="E42" i="7"/>
  <c r="F42" i="7"/>
  <c r="G42" i="7"/>
  <c r="E33" i="7"/>
  <c r="G33" i="7"/>
  <c r="H33" i="7"/>
  <c r="E43" i="7"/>
  <c r="F43" i="7"/>
  <c r="G43" i="7"/>
  <c r="E29" i="7"/>
  <c r="G29" i="7"/>
  <c r="H29" i="7"/>
  <c r="E39" i="7"/>
  <c r="F39" i="7"/>
  <c r="G39" i="7"/>
  <c r="I10" i="7"/>
  <c r="I11" i="7"/>
  <c r="D19" i="4"/>
  <c r="E19" i="7"/>
  <c r="C21" i="7"/>
  <c r="F29" i="7"/>
  <c r="G34" i="7"/>
  <c r="F34" i="7"/>
  <c r="D44" i="7"/>
  <c r="D40" i="7"/>
  <c r="D41" i="7"/>
  <c r="D42" i="7"/>
  <c r="D43" i="7"/>
  <c r="D39" i="7"/>
  <c r="C40" i="7"/>
  <c r="C42" i="7"/>
  <c r="C43" i="7"/>
  <c r="C39" i="7"/>
  <c r="C48" i="7"/>
  <c r="C7" i="5"/>
  <c r="P4" i="7"/>
  <c r="AE4" i="7"/>
  <c r="AD4" i="7"/>
  <c r="AH4" i="7"/>
  <c r="R4" i="7"/>
  <c r="X4" i="7"/>
  <c r="Y4" i="7"/>
  <c r="U4" i="7"/>
  <c r="Z4" i="7"/>
  <c r="P5" i="7"/>
  <c r="AE5" i="7"/>
  <c r="AD5" i="7"/>
  <c r="AH5" i="7"/>
  <c r="R5" i="7"/>
  <c r="X5" i="7"/>
  <c r="Y5" i="7"/>
  <c r="S5" i="7"/>
  <c r="U5" i="7"/>
  <c r="Z5" i="7"/>
  <c r="P6" i="7"/>
  <c r="AE6" i="7"/>
  <c r="AD6" i="7"/>
  <c r="AH6" i="7"/>
  <c r="R6" i="7"/>
  <c r="X6" i="7"/>
  <c r="Y6" i="7"/>
  <c r="S6" i="7"/>
  <c r="U6" i="7"/>
  <c r="Z6" i="7"/>
  <c r="P7" i="7"/>
  <c r="AE7" i="7"/>
  <c r="AD7" i="7"/>
  <c r="AH7" i="7"/>
  <c r="R7" i="7"/>
  <c r="X7" i="7"/>
  <c r="Y7" i="7"/>
  <c r="S7" i="7"/>
  <c r="U7" i="7"/>
  <c r="Z7" i="7"/>
  <c r="P8" i="7"/>
  <c r="AE8" i="7"/>
  <c r="AD8" i="7"/>
  <c r="AH8" i="7"/>
  <c r="R8" i="7"/>
  <c r="X8" i="7"/>
  <c r="Y8" i="7"/>
  <c r="S8" i="7"/>
  <c r="U8" i="7"/>
  <c r="Z8" i="7"/>
  <c r="P9" i="7"/>
  <c r="AE9" i="7"/>
  <c r="AD9" i="7"/>
  <c r="AH9" i="7"/>
  <c r="R9" i="7"/>
  <c r="X9" i="7"/>
  <c r="Y9" i="7"/>
  <c r="S9" i="7"/>
  <c r="U9" i="7"/>
  <c r="Z9" i="7"/>
  <c r="P10" i="7"/>
  <c r="AE10" i="7"/>
  <c r="AD10" i="7"/>
  <c r="AH10" i="7"/>
  <c r="R10" i="7"/>
  <c r="X10" i="7"/>
  <c r="Y10" i="7"/>
  <c r="S10" i="7"/>
  <c r="U10" i="7"/>
  <c r="Z10" i="7"/>
  <c r="P11" i="7"/>
  <c r="AE11" i="7"/>
  <c r="AD11" i="7"/>
  <c r="AH11" i="7"/>
  <c r="R11" i="7"/>
  <c r="X11" i="7"/>
  <c r="Y11" i="7"/>
  <c r="S11" i="7"/>
  <c r="U11" i="7"/>
  <c r="Z11" i="7"/>
  <c r="P12" i="7"/>
  <c r="AE12" i="7"/>
  <c r="AD12" i="7"/>
  <c r="AH12" i="7"/>
  <c r="R12" i="7"/>
  <c r="X12" i="7"/>
  <c r="Y12" i="7"/>
  <c r="S12" i="7"/>
  <c r="U12" i="7"/>
  <c r="Z12" i="7"/>
  <c r="P13" i="7"/>
  <c r="AE13" i="7"/>
  <c r="AD13" i="7"/>
  <c r="AH13" i="7"/>
  <c r="R13" i="7"/>
  <c r="X13" i="7"/>
  <c r="Y13" i="7"/>
  <c r="S13" i="7"/>
  <c r="U13" i="7"/>
  <c r="Z13" i="7"/>
  <c r="C30" i="7"/>
  <c r="C29" i="7"/>
  <c r="C31" i="7"/>
  <c r="C32" i="7"/>
  <c r="C33" i="7"/>
  <c r="C34" i="7"/>
  <c r="D30" i="7"/>
  <c r="C15" i="7"/>
  <c r="E15" i="7"/>
  <c r="F30" i="7"/>
  <c r="D31" i="7"/>
  <c r="C16" i="7"/>
  <c r="D32" i="7"/>
  <c r="C17" i="7"/>
  <c r="E17" i="7"/>
  <c r="F32" i="7"/>
  <c r="D33" i="7"/>
  <c r="C18" i="7"/>
  <c r="E18" i="7"/>
  <c r="F33" i="7"/>
  <c r="C14" i="7"/>
  <c r="D29" i="7"/>
  <c r="D34" i="7"/>
  <c r="F15" i="7"/>
  <c r="F16" i="7"/>
  <c r="F17" i="7"/>
  <c r="F18" i="7"/>
  <c r="F19" i="7"/>
  <c r="C19" i="7"/>
  <c r="T21" i="7"/>
  <c r="V21" i="7"/>
  <c r="S21" i="7"/>
  <c r="X21" i="7"/>
  <c r="Y21" i="7"/>
  <c r="T22" i="7"/>
  <c r="V22" i="7"/>
  <c r="S22" i="7"/>
  <c r="X22" i="7"/>
  <c r="Y22" i="7"/>
  <c r="T23" i="7"/>
  <c r="V23" i="7"/>
  <c r="S23" i="7"/>
  <c r="X23" i="7"/>
  <c r="Y23" i="7"/>
  <c r="T24" i="7"/>
  <c r="V24" i="7"/>
  <c r="S24" i="7"/>
  <c r="X24" i="7"/>
  <c r="Y24" i="7"/>
  <c r="T25" i="7"/>
  <c r="V25" i="7"/>
  <c r="S25" i="7"/>
  <c r="X25" i="7"/>
  <c r="Y25" i="7"/>
  <c r="T26" i="7"/>
  <c r="V26" i="7"/>
  <c r="S26" i="7"/>
  <c r="X26" i="7"/>
  <c r="Y26" i="7"/>
  <c r="T27" i="7"/>
  <c r="V27" i="7"/>
  <c r="S27" i="7"/>
  <c r="X27" i="7"/>
  <c r="Y27" i="7"/>
  <c r="T28" i="7"/>
  <c r="V28" i="7"/>
  <c r="S28" i="7"/>
  <c r="X28" i="7"/>
  <c r="Y28" i="7"/>
  <c r="T29" i="7"/>
  <c r="V29" i="7"/>
  <c r="S29" i="7"/>
  <c r="X29" i="7"/>
  <c r="Y29" i="7"/>
  <c r="T20" i="7"/>
  <c r="V20" i="7"/>
  <c r="S20" i="7"/>
  <c r="X20" i="7"/>
  <c r="Y20" i="7"/>
  <c r="S31" i="7"/>
  <c r="S15" i="7"/>
  <c r="Y14" i="7"/>
  <c r="T15" i="7"/>
  <c r="U15" i="7"/>
  <c r="U14" i="7"/>
  <c r="AD14" i="7"/>
  <c r="AD15" i="7"/>
  <c r="AH15" i="7"/>
  <c r="AD16" i="7"/>
  <c r="AA4" i="7"/>
  <c r="V5" i="7"/>
  <c r="AA5" i="7"/>
  <c r="V6" i="7"/>
  <c r="AA6" i="7"/>
  <c r="V7" i="7"/>
  <c r="AA7" i="7"/>
  <c r="V8" i="7"/>
  <c r="AA8" i="7"/>
  <c r="V9" i="7"/>
  <c r="AA9" i="7"/>
  <c r="V10" i="7"/>
  <c r="AA10" i="7"/>
  <c r="V11" i="7"/>
  <c r="AA11" i="7"/>
  <c r="V13" i="7"/>
  <c r="AA16" i="7"/>
  <c r="X16" i="7"/>
  <c r="U16" i="7"/>
  <c r="P16" i="7"/>
  <c r="AQ15" i="7"/>
  <c r="AF15" i="7"/>
  <c r="Q15" i="7"/>
  <c r="V15" i="7"/>
  <c r="AA15" i="7"/>
  <c r="P14" i="7"/>
  <c r="P15" i="7"/>
  <c r="W15" i="7"/>
  <c r="R15" i="7"/>
  <c r="X15" i="7"/>
  <c r="Y15" i="7"/>
  <c r="Z15" i="7"/>
  <c r="AA14" i="7"/>
  <c r="Z14" i="7"/>
  <c r="X14" i="7"/>
  <c r="W14" i="7"/>
  <c r="D11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12" i="5"/>
  <c r="D12" i="5"/>
  <c r="E12" i="5"/>
  <c r="C13" i="5"/>
  <c r="C11" i="5"/>
  <c r="C13" i="2"/>
  <c r="C16" i="2"/>
  <c r="C17" i="2"/>
  <c r="C7" i="2"/>
  <c r="C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tc={F0799EBC-9B55-49BC-92C7-A38630EBA4E1}</author>
  </authors>
  <commentList>
    <comment ref="G3" authorId="0" shapeId="0" xr:uid="{F0799EBC-9B55-49BC-92C7-A38630EBA4E1}">
      <text>
        <t>[Threaded comment]
Your version of Excel allows you to read this threaded comment; however, any edits to it will get removed if the file is opened in a newer version of Excel. Learn more: https://go.microsoft.com/fwlink/?linkid=870924
Comment:
    Selling, general and administrative expense (SG&amp;A) is reported on the income statement as the sum of all direct and indirect selling expenses and all general and administrative expenses (G&amp;A) of a company. SG&amp;A, also known as SGA, includes all the costs not directly tied to making a product or performing a service. That is, SG&amp;A includes the costs to sell and deliver products and services and the costs to manage the company.</t>
      </text>
    </comment>
  </commentList>
</comments>
</file>

<file path=xl/sharedStrings.xml><?xml version="1.0" encoding="utf-8"?>
<sst xmlns="http://schemas.openxmlformats.org/spreadsheetml/2006/main" count="293" uniqueCount="205">
  <si>
    <t>10 year $-denominated Brazilian bond</t>
  </si>
  <si>
    <t>November 2013 data</t>
  </si>
  <si>
    <t>10 year Indian bond (rupee)</t>
  </si>
  <si>
    <t>10 year US zero coupon bond (riskfree)</t>
  </si>
  <si>
    <t>Indian riskfree rate</t>
  </si>
  <si>
    <t>Chinese riskfree rate</t>
  </si>
  <si>
    <t>10 year Chinese bond (renmimbi) (Aa3)</t>
  </si>
  <si>
    <t>Default spread for 10y Indian bond (Baa3)</t>
  </si>
  <si>
    <t>Brazilian riskfree (to be used with $ cashflows)</t>
  </si>
  <si>
    <t>Brazilian spread (to be used with $ cashflows)</t>
  </si>
  <si>
    <t>effectively here we are saying that since the cashflows are in $</t>
  </si>
  <si>
    <t>we should use the riskfree of US which is AAA and considered default free</t>
  </si>
  <si>
    <t>So this exercise just isolates the country-specific risk which we will use later</t>
  </si>
  <si>
    <t>10 year German zero coupon bond (riskfree)</t>
  </si>
  <si>
    <t>Rating</t>
  </si>
  <si>
    <t>Default Spread (1/1/20)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</si>
  <si>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</si>
  <si>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</si>
  <si>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</si>
  <si>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</si>
  <si>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</si>
  <si>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</si>
  <si>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</si>
  <si>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</si>
  <si>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</si>
  <si>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</si>
  <si>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</si>
  <si>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</si>
  <si>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</si>
  <si>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</si>
  <si>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</si>
  <si>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</si>
  <si>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</si>
  <si>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</si>
  <si>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</si>
  <si>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</si>
  <si>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estimated default spread as the average CDS per category</t>
  </si>
  <si>
    <t>basis points (100bps = 1%)</t>
  </si>
  <si>
    <t>Arithmetic Average</t>
  </si>
  <si>
    <t>Geometric Average</t>
  </si>
  <si>
    <t>Stocks - T. Bills</t>
  </si>
  <si>
    <t>Stocks - T. Bonds</t>
  </si>
  <si>
    <t>1928-2012</t>
  </si>
  <si>
    <t>7.65%</t>
  </si>
  <si>
    <t>5.88%</t>
  </si>
  <si>
    <t>5.74%</t>
  </si>
  <si>
    <t>4.20%</t>
  </si>
  <si>
    <t>2.20%</t>
  </si>
  <si>
    <t>2.33%</t>
  </si>
  <si>
    <t>Country</t>
  </si>
  <si>
    <t>Default Spread (Country Risk Premium)</t>
  </si>
  <si>
    <t>US ERP</t>
  </si>
  <si>
    <t>Total ERP for country</t>
  </si>
  <si>
    <t>India</t>
  </si>
  <si>
    <t>2.25%</t>
  </si>
  <si>
    <t>6.45%</t>
  </si>
  <si>
    <t>China</t>
  </si>
  <si>
    <t>0.80%</t>
  </si>
  <si>
    <t>5.00%</t>
  </si>
  <si>
    <t>Brazil</t>
  </si>
  <si>
    <t>2.00%</t>
  </si>
  <si>
    <t>6.20%</t>
  </si>
  <si>
    <t>10 year Brazilian bond (Real)</t>
  </si>
  <si>
    <t>Estimated spread for Baa2 bond</t>
  </si>
  <si>
    <t>Brazilian risk free rate (Real)</t>
  </si>
  <si>
    <t>Default spread for 10y Chinese bond (Aa3)</t>
  </si>
  <si>
    <t>Sovereign CDS Spread</t>
  </si>
  <si>
    <t>8.40%</t>
  </si>
  <si>
    <t>1.20%</t>
  </si>
  <si>
    <t>5.40%</t>
  </si>
  <si>
    <t>2.59%</t>
  </si>
  <si>
    <t>6.79%</t>
  </si>
  <si>
    <t>we add here the implied, rating-based spread</t>
  </si>
  <si>
    <t>we add here the CDS-based spread</t>
  </si>
  <si>
    <t>Annualised returns</t>
  </si>
  <si>
    <t>Debt to Capital</t>
  </si>
  <si>
    <t>Debt/Equity Ratio</t>
  </si>
  <si>
    <t>Beta</t>
  </si>
  <si>
    <t>Effect of Leverage</t>
  </si>
  <si>
    <t>margina tax rate</t>
  </si>
  <si>
    <t>Disney hypothetical example - effect of leverage</t>
  </si>
  <si>
    <t>Regression beta</t>
  </si>
  <si>
    <t>Average D/E during period</t>
  </si>
  <si>
    <t>Unlevered beta</t>
  </si>
  <si>
    <t>Business</t>
  </si>
  <si>
    <t>Revenues</t>
  </si>
  <si>
    <t>D&amp;A</t>
  </si>
  <si>
    <t>EBITDA</t>
  </si>
  <si>
    <t>Interactive</t>
  </si>
  <si>
    <t>Cap Ex</t>
  </si>
  <si>
    <t>Media Networks</t>
  </si>
  <si>
    <t>Parks &amp; Resorts</t>
  </si>
  <si>
    <t xml:space="preserve">Studio Entertainment </t>
  </si>
  <si>
    <t>Consumer Products</t>
  </si>
  <si>
    <t>Operating Income</t>
  </si>
  <si>
    <t>S, G, &amp; A Costs</t>
  </si>
  <si>
    <t>Identifiable Assets</t>
  </si>
  <si>
    <t xml:space="preserve">Example for </t>
  </si>
  <si>
    <t>Company Name</t>
  </si>
  <si>
    <t>Company Type</t>
  </si>
  <si>
    <t>Headquarters - Country</t>
  </si>
  <si>
    <t>Levered Beta</t>
  </si>
  <si>
    <t>Firm Value</t>
  </si>
  <si>
    <t>Enterprise Value</t>
  </si>
  <si>
    <t>Cash/Firm Value</t>
  </si>
  <si>
    <t>Pre-tax cost of debt</t>
  </si>
  <si>
    <t>PV of lease commitments</t>
  </si>
  <si>
    <t>Total Debt including Leases</t>
  </si>
  <si>
    <t>Marginal tax rate</t>
  </si>
  <si>
    <t>Gross D/E ratio</t>
  </si>
  <si>
    <t>Unlevered Beta</t>
  </si>
  <si>
    <t>Pure play beta</t>
  </si>
  <si>
    <t>Book interest rate</t>
  </si>
  <si>
    <t>EV/Sales</t>
  </si>
  <si>
    <t>Total Debt [Latest Quarter] ($USDmm, Historical rate)</t>
  </si>
  <si>
    <t>Operating Lease Commitment Due +1 [Latest Annual] ($USDmm, Historical rate)</t>
  </si>
  <si>
    <t>Operating Lease Commitment Due +2 [Latest Annual] ($USDmm, Historical rate)</t>
  </si>
  <si>
    <t>Operating Lease Commitment Due +3 [Latest Annual] ($USDmm, Historical rate)</t>
  </si>
  <si>
    <t>Operating Lease Commitment Due +4 [Latest Annual] ($USDmm, Historical rate)</t>
  </si>
  <si>
    <t>Operating Lease Commitment Due +5 [Latest Annual] ($USDmm, Historical rate)</t>
  </si>
  <si>
    <t>Operating Lease Commitment Due, After 5 Yrs [Latest Annual] ($USDmm, Historical rate)</t>
  </si>
  <si>
    <t>Net Rental Expense, Total [LTM] ($USDmm, Historical rate)</t>
  </si>
  <si>
    <t>Effective Tax Rate [LTM] (%)</t>
  </si>
  <si>
    <t>Total Revenue [LTM] ($USDmm, Historical rate)</t>
  </si>
  <si>
    <t>EBITDA [LTM] ($USDmm, Historical rate)</t>
  </si>
  <si>
    <t>EBIT [LTM] ($USDmm, Historical rate)</t>
  </si>
  <si>
    <t>Capital Expenditure [LTM] ($USDmm, Historical rate)</t>
  </si>
  <si>
    <t>Interest Expense [LTM] ($USDmm, Historical rate)</t>
  </si>
  <si>
    <t>Depreciation &amp; Amort. [LTM] ($USDmm, Historical rate)</t>
  </si>
  <si>
    <t>2 Year Beta [Latest]</t>
  </si>
  <si>
    <t>5 Year Beta [Latest]</t>
  </si>
  <si>
    <t>2 Year Beta R-Squared [Latest]</t>
  </si>
  <si>
    <t>5 Year Beta R-Squared [Latest]</t>
  </si>
  <si>
    <t>Total Debt [Latest Annual - 4] ($USDmm, Historical rate)</t>
  </si>
  <si>
    <t>Total Debt [Latest Annual - 3] ($USDmm, Historical rate)</t>
  </si>
  <si>
    <t>Total Debt [Latest Annual - 2] ($USDmm, Historical rate)</t>
  </si>
  <si>
    <t>Total Debt [Latest Annual - 1] ($USDmm, Historical rate)</t>
  </si>
  <si>
    <t>Total Debt [Latest Annual] ($USDmm, Historical rate)</t>
  </si>
  <si>
    <t>Market Capitalization [Latest - 4 Year(s)] ($USDmm, Historical rate)</t>
  </si>
  <si>
    <t>Market Capitalization [Latest - 3 Year(s)] ($USDmm, Historical rate)</t>
  </si>
  <si>
    <t>Market Capitalization [Latest - 2 Year(s)] ($USDmm, Historical rate)</t>
  </si>
  <si>
    <t>Market Capitalization [Latest - 1 Year(s)] ($USDmm, Historical rate)</t>
  </si>
  <si>
    <t>Public Company</t>
  </si>
  <si>
    <t>Entertainment Production Companies (Primary)</t>
  </si>
  <si>
    <t>United States</t>
  </si>
  <si>
    <t>NM</t>
  </si>
  <si>
    <t>Average</t>
  </si>
  <si>
    <t>Aggregate</t>
  </si>
  <si>
    <t>Median</t>
  </si>
  <si>
    <t>Cash</t>
  </si>
  <si>
    <t>Market Capitalization</t>
  </si>
  <si>
    <t>Independent Film Development</t>
  </si>
  <si>
    <t>DreamWorks Animation</t>
  </si>
  <si>
    <t xml:space="preserve">Lions Gate Entertainment </t>
  </si>
  <si>
    <t xml:space="preserve">MGM Holdings </t>
  </si>
  <si>
    <t>Medient Studios</t>
  </si>
  <si>
    <t>POW! Entertainment</t>
  </si>
  <si>
    <t xml:space="preserve">SFX Entertainment </t>
  </si>
  <si>
    <t>Twenty-First Century Fox</t>
  </si>
  <si>
    <t>Odyssey Pictures</t>
  </si>
  <si>
    <t>Mass Hysteria Entertainment</t>
  </si>
  <si>
    <t>Enterprise Value (D+E-Cash)</t>
  </si>
  <si>
    <t>Firm Value (D+E)</t>
  </si>
  <si>
    <t>presentation</t>
  </si>
  <si>
    <t>Proportion of Disney</t>
  </si>
  <si>
    <t>Studio Entertainment</t>
  </si>
  <si>
    <t>Disney Operations</t>
  </si>
  <si>
    <t>Disney Cash</t>
  </si>
  <si>
    <t>Disney Company</t>
  </si>
  <si>
    <r>
      <t>Estimated Value per sector (</t>
    </r>
    <r>
      <rPr>
        <i/>
        <sz val="12"/>
        <color rgb="FFFF0000"/>
        <rFont val="Calibri"/>
        <family val="2"/>
      </rPr>
      <t>Disney</t>
    </r>
    <r>
      <rPr>
        <i/>
        <sz val="12"/>
        <color rgb="FF000000"/>
        <rFont val="Calibri"/>
        <family val="2"/>
      </rPr>
      <t>)</t>
    </r>
  </si>
  <si>
    <t>Allocated debt</t>
  </si>
  <si>
    <t>Identifiable assets</t>
  </si>
  <si>
    <t>Proportion</t>
  </si>
  <si>
    <t>Calculating levered betas per sector</t>
  </si>
  <si>
    <t>Estimated equity</t>
  </si>
  <si>
    <t>Market Value of Debt</t>
  </si>
  <si>
    <t>Estimated Value per sector (Disney)</t>
  </si>
  <si>
    <t>Estimated D/E ratio</t>
  </si>
  <si>
    <t xml:space="preserve">Estimated value per sector </t>
  </si>
  <si>
    <t>Estimated levered beta</t>
  </si>
  <si>
    <t>Disney</t>
  </si>
  <si>
    <t>Marginal Tax Rate</t>
  </si>
  <si>
    <t>Estimated cost of equity</t>
  </si>
  <si>
    <t>for Disney</t>
  </si>
  <si>
    <t>Region/ Country</t>
  </si>
  <si>
    <t>Proportion of Disney’s Revenues</t>
  </si>
  <si>
    <t>ERP</t>
  </si>
  <si>
    <t>US&amp; Canada</t>
  </si>
  <si>
    <t>Europe</t>
  </si>
  <si>
    <t>Asia-Pacific</t>
  </si>
  <si>
    <t>Latin America</t>
  </si>
  <si>
    <t>100.00%</t>
  </si>
  <si>
    <t>Risk free</t>
  </si>
  <si>
    <t>Disney Risk Prem.</t>
  </si>
  <si>
    <t>beta</t>
  </si>
  <si>
    <t>The idea here is that we want to estimate an accurate pure business proportion</t>
  </si>
  <si>
    <t>for Disney operations. This is why we use EV, which excludes cash which are not</t>
  </si>
  <si>
    <r>
      <t>Unlevered (pure) beta (</t>
    </r>
    <r>
      <rPr>
        <i/>
        <sz val="12"/>
        <color rgb="FFFF0000"/>
        <rFont val="Calibri"/>
        <family val="2"/>
      </rPr>
      <t>Disney</t>
    </r>
    <r>
      <rPr>
        <i/>
        <sz val="12"/>
        <color rgb="FF000000"/>
        <rFont val="Calibri"/>
        <family val="2"/>
      </rPr>
      <t>)</t>
    </r>
  </si>
  <si>
    <t>related to any business. The resulting pure unelvered betas however are not the ones of the company.</t>
  </si>
  <si>
    <t>To estimate the unlevered beta for the company we need to add the effect of cash, which lowers the value of beta.</t>
  </si>
  <si>
    <t>To add back cash we reverse the previous procedure.</t>
  </si>
  <si>
    <t>Unlevered (pure) beta</t>
  </si>
  <si>
    <t>Disney company unlevered</t>
  </si>
  <si>
    <t>Disney company levered</t>
  </si>
  <si>
    <t>The estimated beta with the influence of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</si>
</sst>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164" formatCode="#,##0.00_ ;\-#,##0.00\ "/>
    <numFmt numFmtId="165" formatCode="0.0000"/>
    <numFmt numFmtId="166" formatCode="_-[$$-409]* #,##0_ ;_-[$$-409]* \-#,##0\ ;_-[$$-409]* &quot;-&quot;??_ ;_-@_ "/>
    <numFmt numFmtId="167" formatCode="&quot;$&quot;#,##0.00"/>
    <numFmt numFmtId="168" formatCode="_(* #,##0.0_);_(* \(#,##0.0\)_)\ ;_(* 0_)"/>
    <numFmt numFmtId="169" formatCode="_(* #,##0.0##_);_(* \(#,##0.0##\)_)\ ;_(* 0_)"/>
    <numFmt numFmtId="170" formatCode="_(* #,##0_);_(* \(#,##0\)_)\ ;_(* 0_)"/>
    <numFmt numFmtId="171" formatCode="_(* #,##0.0#_);_(* \(#,##0.0#\)_)\ ;_(* 0_)"/>
    <numFmt numFmtId="172" formatCode="0.000"/>
    <numFmt numFmtId="173" formatCode="&quot;$&quot;#,##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name val="Geneva"/>
      <family val="2"/>
    </font>
    <font>
      <sz val="12"/>
      <color rgb="FF000000"/>
      <name val="Geneva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 val="singleAccounting"/>
      <sz val="8"/>
      <color indexed="8"/>
      <name val="Arial"/>
      <family val="2"/>
    </font>
    <font>
      <b/>
      <u val="singleAccounting"/>
      <sz val="10"/>
      <color indexed="8"/>
      <name val="Calibri"/>
      <family val="2"/>
      <scheme val="minor"/>
    </font>
    <font>
      <sz val="8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</font>
    <font>
      <i/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Times"/>
      <charset val="161"/>
    </font>
    <font>
      <sz val="11"/>
      <color rgb="FF000000"/>
      <name val="Times"/>
      <charset val="161"/>
    </font>
    <font>
      <sz val="11"/>
      <color rgb="FF000000"/>
      <name val="Calibri"/>
      <family val="2"/>
      <charset val="161"/>
    </font>
    <font>
      <b/>
      <sz val="11"/>
      <color rgb="FF000000"/>
      <name val="Times"/>
      <charset val="161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4" borderId="0" applyAlignment="0"/>
    <xf numFmtId="0" fontId="11" fillId="0" borderId="0" applyAlignment="0"/>
  </cellStyleXfs>
  <cellXfs count="151"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wrapText="1" readingOrder="1"/>
    </xf>
    <xf numFmtId="0" fontId="3" fillId="0" borderId="2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left" wrapText="1" readingOrder="1"/>
    </xf>
    <xf numFmtId="0" fontId="4" fillId="0" borderId="2" xfId="0" applyFont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2" borderId="2" xfId="0" applyFont="1" applyFill="1" applyBorder="1" applyAlignment="1">
      <alignment horizontal="center" wrapText="1" readingOrder="1"/>
    </xf>
    <xf numFmtId="9" fontId="0" fillId="0" borderId="0" xfId="0" applyNumberFormat="1"/>
    <xf numFmtId="0" fontId="5" fillId="0" borderId="2" xfId="0" applyFont="1" applyBorder="1" applyAlignment="1">
      <alignment horizontal="left" wrapText="1" readingOrder="1"/>
    </xf>
    <xf numFmtId="0" fontId="5" fillId="0" borderId="2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right" wrapText="1" readingOrder="1"/>
    </xf>
    <xf numFmtId="0" fontId="4" fillId="2" borderId="2" xfId="0" applyFont="1" applyFill="1" applyBorder="1" applyAlignment="1">
      <alignment horizontal="right" wrapText="1" readingOrder="1"/>
    </xf>
    <xf numFmtId="0" fontId="4" fillId="0" borderId="0" xfId="0" applyFont="1" applyFill="1" applyBorder="1" applyAlignment="1">
      <alignment horizontal="left" readingOrder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0" fillId="0" borderId="0" xfId="0" applyNumberFormat="1"/>
    <xf numFmtId="9" fontId="6" fillId="0" borderId="7" xfId="1" applyFont="1" applyBorder="1" applyAlignment="1">
      <alignment horizontal="center" vertical="center"/>
    </xf>
    <xf numFmtId="9" fontId="6" fillId="0" borderId="8" xfId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165" fontId="0" fillId="0" borderId="0" xfId="0" applyNumberFormat="1"/>
    <xf numFmtId="9" fontId="6" fillId="3" borderId="7" xfId="1" applyFont="1" applyFill="1" applyBorder="1" applyAlignment="1">
      <alignment horizontal="center" vertical="center"/>
    </xf>
    <xf numFmtId="9" fontId="6" fillId="3" borderId="8" xfId="1" applyFont="1" applyFill="1" applyBorder="1" applyAlignment="1">
      <alignment horizontal="center" vertical="center"/>
    </xf>
    <xf numFmtId="165" fontId="8" fillId="3" borderId="8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6" fontId="0" fillId="0" borderId="1" xfId="2" applyNumberFormat="1" applyFont="1" applyBorder="1" applyAlignment="1">
      <alignment horizontal="center"/>
    </xf>
    <xf numFmtId="0" fontId="10" fillId="5" borderId="0" xfId="3" applyFont="1" applyFill="1" applyAlignment="1">
      <alignment horizontal="left" wrapText="1"/>
    </xf>
    <xf numFmtId="2" fontId="10" fillId="5" borderId="1" xfId="3" applyNumberFormat="1" applyFont="1" applyFill="1" applyBorder="1" applyAlignment="1">
      <alignment horizontal="left" wrapText="1"/>
    </xf>
    <xf numFmtId="167" fontId="10" fillId="5" borderId="1" xfId="3" applyNumberFormat="1" applyFont="1" applyFill="1" applyBorder="1" applyAlignment="1">
      <alignment horizontal="left" wrapText="1"/>
    </xf>
    <xf numFmtId="10" fontId="10" fillId="5" borderId="1" xfId="3" applyNumberFormat="1" applyFont="1" applyFill="1" applyBorder="1" applyAlignment="1">
      <alignment horizontal="left" wrapText="1"/>
    </xf>
    <xf numFmtId="10" fontId="10" fillId="5" borderId="1" xfId="1" applyNumberFormat="1" applyFont="1" applyFill="1" applyBorder="1" applyAlignment="1">
      <alignment horizontal="left" wrapText="1"/>
    </xf>
    <xf numFmtId="9" fontId="10" fillId="5" borderId="1" xfId="1" applyFont="1" applyFill="1" applyBorder="1" applyAlignment="1">
      <alignment horizontal="left" wrapText="1"/>
    </xf>
    <xf numFmtId="0" fontId="10" fillId="5" borderId="1" xfId="3" applyFont="1" applyFill="1" applyBorder="1" applyAlignment="1">
      <alignment horizontal="left" wrapText="1"/>
    </xf>
    <xf numFmtId="0" fontId="10" fillId="5" borderId="0" xfId="3" applyFont="1" applyFill="1" applyAlignment="1">
      <alignment horizontal="right" wrapText="1"/>
    </xf>
    <xf numFmtId="49" fontId="13" fillId="0" borderId="0" xfId="0" applyNumberFormat="1" applyFont="1" applyAlignment="1">
      <alignment horizontal="left" vertical="top"/>
    </xf>
    <xf numFmtId="10" fontId="13" fillId="0" borderId="1" xfId="1" applyNumberFormat="1" applyFont="1" applyBorder="1" applyAlignment="1">
      <alignment horizontal="left" vertical="top"/>
    </xf>
    <xf numFmtId="168" fontId="13" fillId="0" borderId="0" xfId="0" applyNumberFormat="1" applyFont="1" applyAlignment="1">
      <alignment horizontal="right" vertical="top" wrapText="1"/>
    </xf>
    <xf numFmtId="169" fontId="13" fillId="0" borderId="0" xfId="0" applyNumberFormat="1" applyFont="1" applyAlignment="1">
      <alignment horizontal="right" vertical="top" wrapText="1"/>
    </xf>
    <xf numFmtId="170" fontId="13" fillId="0" borderId="0" xfId="0" applyNumberFormat="1" applyFont="1" applyAlignment="1">
      <alignment horizontal="right" vertical="top" wrapText="1"/>
    </xf>
    <xf numFmtId="1" fontId="13" fillId="0" borderId="0" xfId="0" applyNumberFormat="1" applyFont="1" applyAlignment="1">
      <alignment horizontal="right" vertical="top" wrapText="1"/>
    </xf>
    <xf numFmtId="171" fontId="13" fillId="0" borderId="0" xfId="0" applyNumberFormat="1" applyFont="1" applyAlignment="1">
      <alignment horizontal="right" vertical="top" wrapText="1"/>
    </xf>
    <xf numFmtId="2" fontId="13" fillId="0" borderId="0" xfId="0" applyNumberFormat="1" applyFont="1" applyAlignment="1">
      <alignment horizontal="right" vertical="top" wrapText="1"/>
    </xf>
    <xf numFmtId="0" fontId="14" fillId="0" borderId="1" xfId="4" applyFont="1" applyBorder="1" applyAlignment="1">
      <alignment horizontal="left" vertical="top" wrapText="1"/>
    </xf>
    <xf numFmtId="0" fontId="15" fillId="0" borderId="1" xfId="0" applyFont="1" applyBorder="1"/>
    <xf numFmtId="167" fontId="15" fillId="0" borderId="1" xfId="0" applyNumberFormat="1" applyFont="1" applyBorder="1"/>
    <xf numFmtId="10" fontId="15" fillId="0" borderId="1" xfId="1" applyNumberFormat="1" applyFont="1" applyBorder="1"/>
    <xf numFmtId="2" fontId="15" fillId="0" borderId="1" xfId="1" applyNumberFormat="1" applyFont="1" applyBorder="1"/>
    <xf numFmtId="10" fontId="16" fillId="0" borderId="1" xfId="0" applyNumberFormat="1" applyFont="1" applyBorder="1" applyAlignment="1">
      <alignment horizontal="center" vertical="top"/>
    </xf>
    <xf numFmtId="10" fontId="16" fillId="0" borderId="1" xfId="1" applyNumberFormat="1" applyFont="1" applyBorder="1" applyAlignment="1">
      <alignment horizontal="center" vertical="top"/>
    </xf>
    <xf numFmtId="168" fontId="15" fillId="0" borderId="1" xfId="0" applyNumberFormat="1" applyFont="1" applyBorder="1"/>
    <xf numFmtId="10" fontId="15" fillId="0" borderId="1" xfId="0" applyNumberFormat="1" applyFont="1" applyBorder="1"/>
    <xf numFmtId="0" fontId="0" fillId="2" borderId="1" xfId="0" applyFill="1" applyBorder="1"/>
    <xf numFmtId="166" fontId="0" fillId="2" borderId="1" xfId="2" applyNumberFormat="1" applyFont="1" applyFill="1" applyBorder="1" applyAlignment="1">
      <alignment horizontal="center"/>
    </xf>
    <xf numFmtId="49" fontId="13" fillId="2" borderId="0" xfId="0" applyNumberFormat="1" applyFont="1" applyFill="1" applyAlignment="1">
      <alignment horizontal="left" vertical="top"/>
    </xf>
    <xf numFmtId="0" fontId="15" fillId="0" borderId="9" xfId="0" applyFont="1" applyBorder="1"/>
    <xf numFmtId="0" fontId="10" fillId="5" borderId="1" xfId="3" applyFont="1" applyFill="1" applyBorder="1" applyAlignment="1">
      <alignment horizontal="right" wrapText="1"/>
    </xf>
    <xf numFmtId="0" fontId="12" fillId="0" borderId="1" xfId="4" applyFont="1" applyBorder="1" applyAlignment="1">
      <alignment horizontal="left" vertical="top" wrapText="1"/>
    </xf>
    <xf numFmtId="2" fontId="13" fillId="0" borderId="1" xfId="0" applyNumberFormat="1" applyFont="1" applyBorder="1" applyAlignment="1">
      <alignment horizontal="center" vertical="top"/>
    </xf>
    <xf numFmtId="168" fontId="13" fillId="0" borderId="1" xfId="0" applyNumberFormat="1" applyFont="1" applyBorder="1" applyAlignment="1">
      <alignment horizontal="center" vertical="top" wrapText="1"/>
    </xf>
    <xf numFmtId="167" fontId="13" fillId="0" borderId="1" xfId="0" applyNumberFormat="1" applyFont="1" applyBorder="1" applyAlignment="1">
      <alignment horizontal="center" vertical="top"/>
    </xf>
    <xf numFmtId="10" fontId="13" fillId="0" borderId="1" xfId="0" applyNumberFormat="1" applyFont="1" applyBorder="1" applyAlignment="1">
      <alignment horizontal="center" vertical="top"/>
    </xf>
    <xf numFmtId="10" fontId="13" fillId="0" borderId="1" xfId="1" applyNumberFormat="1" applyFont="1" applyBorder="1" applyAlignment="1">
      <alignment horizontal="center" vertical="top"/>
    </xf>
    <xf numFmtId="2" fontId="13" fillId="0" borderId="1" xfId="1" applyNumberFormat="1" applyFont="1" applyBorder="1" applyAlignment="1">
      <alignment horizontal="center" vertical="top"/>
    </xf>
    <xf numFmtId="169" fontId="13" fillId="0" borderId="1" xfId="0" applyNumberFormat="1" applyFont="1" applyBorder="1" applyAlignment="1">
      <alignment horizontal="center" vertical="top" wrapText="1"/>
    </xf>
    <xf numFmtId="170" fontId="13" fillId="0" borderId="1" xfId="0" applyNumberFormat="1" applyFont="1" applyBorder="1" applyAlignment="1">
      <alignment horizontal="center" vertical="top" wrapText="1"/>
    </xf>
    <xf numFmtId="1" fontId="13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7" fontId="15" fillId="0" borderId="1" xfId="0" applyNumberFormat="1" applyFont="1" applyBorder="1" applyAlignment="1">
      <alignment horizontal="center"/>
    </xf>
    <xf numFmtId="10" fontId="15" fillId="0" borderId="1" xfId="1" applyNumberFormat="1" applyFont="1" applyBorder="1" applyAlignment="1">
      <alignment horizontal="center"/>
    </xf>
    <xf numFmtId="2" fontId="15" fillId="0" borderId="1" xfId="1" applyNumberFormat="1" applyFont="1" applyBorder="1" applyAlignment="1">
      <alignment horizontal="center"/>
    </xf>
    <xf numFmtId="2" fontId="16" fillId="0" borderId="1" xfId="0" applyNumberFormat="1" applyFont="1" applyBorder="1" applyAlignment="1">
      <alignment horizontal="center" vertical="top"/>
    </xf>
    <xf numFmtId="10" fontId="15" fillId="0" borderId="1" xfId="0" applyNumberFormat="1" applyFont="1" applyBorder="1" applyAlignment="1">
      <alignment horizontal="center"/>
    </xf>
    <xf numFmtId="167" fontId="10" fillId="5" borderId="1" xfId="3" applyNumberFormat="1" applyFont="1" applyFill="1" applyBorder="1" applyAlignment="1">
      <alignment horizontal="center" wrapText="1"/>
    </xf>
    <xf numFmtId="168" fontId="13" fillId="0" borderId="1" xfId="0" applyNumberFormat="1" applyFont="1" applyBorder="1" applyAlignment="1">
      <alignment vertical="top" wrapText="1"/>
    </xf>
    <xf numFmtId="169" fontId="13" fillId="0" borderId="1" xfId="0" applyNumberFormat="1" applyFont="1" applyBorder="1" applyAlignment="1">
      <alignment vertical="top" wrapText="1"/>
    </xf>
    <xf numFmtId="171" fontId="13" fillId="0" borderId="1" xfId="0" applyNumberFormat="1" applyFont="1" applyBorder="1" applyAlignment="1">
      <alignment vertical="top" wrapText="1"/>
    </xf>
    <xf numFmtId="2" fontId="15" fillId="2" borderId="1" xfId="0" applyNumberFormat="1" applyFont="1" applyFill="1" applyBorder="1" applyAlignment="1">
      <alignment horizontal="center"/>
    </xf>
    <xf numFmtId="0" fontId="10" fillId="5" borderId="1" xfId="3" applyFont="1" applyFill="1" applyBorder="1" applyAlignment="1">
      <alignment horizontal="center" wrapText="1"/>
    </xf>
    <xf numFmtId="9" fontId="10" fillId="5" borderId="1" xfId="1" applyFont="1" applyFill="1" applyBorder="1" applyAlignment="1">
      <alignment horizontal="center" wrapText="1"/>
    </xf>
    <xf numFmtId="10" fontId="10" fillId="5" borderId="1" xfId="3" applyNumberFormat="1" applyFont="1" applyFill="1" applyBorder="1" applyAlignment="1">
      <alignment horizontal="center" wrapText="1"/>
    </xf>
    <xf numFmtId="2" fontId="13" fillId="0" borderId="1" xfId="0" applyNumberFormat="1" applyFont="1" applyBorder="1" applyAlignment="1">
      <alignment horizontal="center" vertical="top" wrapText="1"/>
    </xf>
    <xf numFmtId="172" fontId="1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7" fillId="0" borderId="1" xfId="0" applyFont="1" applyBorder="1"/>
    <xf numFmtId="173" fontId="17" fillId="0" borderId="1" xfId="0" applyNumberFormat="1" applyFont="1" applyBorder="1"/>
    <xf numFmtId="2" fontId="17" fillId="0" borderId="1" xfId="0" applyNumberFormat="1" applyFont="1" applyBorder="1"/>
    <xf numFmtId="10" fontId="4" fillId="0" borderId="1" xfId="1" applyNumberFormat="1" applyFont="1" applyFill="1" applyBorder="1"/>
    <xf numFmtId="0" fontId="17" fillId="0" borderId="10" xfId="0" applyFont="1" applyBorder="1"/>
    <xf numFmtId="0" fontId="17" fillId="0" borderId="11" xfId="0" applyFont="1" applyBorder="1"/>
    <xf numFmtId="0" fontId="17" fillId="0" borderId="0" xfId="0" applyFont="1"/>
    <xf numFmtId="165" fontId="17" fillId="0" borderId="1" xfId="0" applyNumberFormat="1" applyFont="1" applyBorder="1"/>
    <xf numFmtId="0" fontId="17" fillId="0" borderId="5" xfId="0" applyFont="1" applyBorder="1"/>
    <xf numFmtId="173" fontId="17" fillId="0" borderId="11" xfId="0" applyNumberFormat="1" applyFont="1" applyBorder="1"/>
    <xf numFmtId="0" fontId="17" fillId="2" borderId="1" xfId="0" applyFont="1" applyFill="1" applyBorder="1"/>
    <xf numFmtId="173" fontId="17" fillId="2" borderId="1" xfId="0" applyNumberFormat="1" applyFont="1" applyFill="1" applyBorder="1"/>
    <xf numFmtId="2" fontId="17" fillId="2" borderId="1" xfId="0" applyNumberFormat="1" applyFont="1" applyFill="1" applyBorder="1"/>
    <xf numFmtId="10" fontId="4" fillId="2" borderId="1" xfId="1" applyNumberFormat="1" applyFont="1" applyFill="1" applyBorder="1"/>
    <xf numFmtId="0" fontId="5" fillId="0" borderId="0" xfId="0" applyFont="1" applyAlignment="1">
      <alignment wrapText="1"/>
    </xf>
    <xf numFmtId="165" fontId="17" fillId="0" borderId="0" xfId="0" applyNumberFormat="1" applyFont="1"/>
    <xf numFmtId="167" fontId="17" fillId="0" borderId="0" xfId="0" applyNumberFormat="1" applyFont="1"/>
    <xf numFmtId="10" fontId="4" fillId="0" borderId="0" xfId="1" applyNumberFormat="1" applyFont="1" applyFill="1" applyBorder="1"/>
    <xf numFmtId="0" fontId="20" fillId="0" borderId="0" xfId="0" applyFont="1"/>
    <xf numFmtId="0" fontId="5" fillId="0" borderId="1" xfId="0" applyFont="1" applyBorder="1" applyAlignment="1">
      <alignment wrapText="1"/>
    </xf>
    <xf numFmtId="167" fontId="4" fillId="0" borderId="1" xfId="1" applyNumberFormat="1" applyFont="1" applyFill="1" applyBorder="1"/>
    <xf numFmtId="10" fontId="17" fillId="0" borderId="1" xfId="0" applyNumberFormat="1" applyFont="1" applyBorder="1"/>
    <xf numFmtId="167" fontId="4" fillId="3" borderId="1" xfId="1" applyNumberFormat="1" applyFont="1" applyFill="1" applyBorder="1"/>
    <xf numFmtId="166" fontId="17" fillId="3" borderId="1" xfId="0" applyNumberFormat="1" applyFont="1" applyFill="1" applyBorder="1"/>
    <xf numFmtId="2" fontId="15" fillId="2" borderId="1" xfId="1" applyNumberFormat="1" applyFont="1" applyFill="1" applyBorder="1" applyAlignment="1">
      <alignment horizontal="center"/>
    </xf>
    <xf numFmtId="167" fontId="4" fillId="2" borderId="1" xfId="1" applyNumberFormat="1" applyFont="1" applyFill="1" applyBorder="1"/>
    <xf numFmtId="172" fontId="19" fillId="0" borderId="1" xfId="0" applyNumberFormat="1" applyFont="1" applyBorder="1"/>
    <xf numFmtId="172" fontId="13" fillId="0" borderId="1" xfId="0" applyNumberFormat="1" applyFont="1" applyBorder="1" applyAlignment="1">
      <alignment horizontal="center" vertical="top"/>
    </xf>
    <xf numFmtId="165" fontId="17" fillId="0" borderId="1" xfId="0" applyNumberFormat="1" applyFont="1" applyBorder="1" applyAlignment="1">
      <alignment horizontal="center"/>
    </xf>
    <xf numFmtId="167" fontId="17" fillId="0" borderId="1" xfId="0" applyNumberFormat="1" applyFont="1" applyBorder="1" applyAlignment="1">
      <alignment horizontal="center"/>
    </xf>
    <xf numFmtId="10" fontId="4" fillId="0" borderId="1" xfId="1" applyNumberFormat="1" applyFont="1" applyFill="1" applyBorder="1" applyAlignment="1">
      <alignment horizontal="center"/>
    </xf>
    <xf numFmtId="165" fontId="19" fillId="0" borderId="1" xfId="0" applyNumberFormat="1" applyFont="1" applyBorder="1" applyAlignment="1">
      <alignment horizontal="center"/>
    </xf>
    <xf numFmtId="10" fontId="5" fillId="6" borderId="1" xfId="1" applyNumberFormat="1" applyFont="1" applyFill="1" applyBorder="1" applyAlignment="1">
      <alignment horizontal="center"/>
    </xf>
    <xf numFmtId="10" fontId="20" fillId="0" borderId="0" xfId="0" applyNumberFormat="1" applyFont="1"/>
    <xf numFmtId="167" fontId="21" fillId="0" borderId="0" xfId="1" applyNumberFormat="1" applyFont="1" applyFill="1" applyBorder="1"/>
    <xf numFmtId="0" fontId="0" fillId="0" borderId="0" xfId="0" applyFont="1"/>
    <xf numFmtId="0" fontId="23" fillId="0" borderId="2" xfId="0" applyFont="1" applyBorder="1" applyAlignment="1">
      <alignment horizontal="left" vertical="center" readingOrder="1"/>
    </xf>
    <xf numFmtId="0" fontId="24" fillId="0" borderId="2" xfId="0" applyFont="1" applyBorder="1" applyAlignment="1">
      <alignment horizontal="left" readingOrder="1"/>
    </xf>
    <xf numFmtId="0" fontId="25" fillId="0" borderId="2" xfId="0" applyFont="1" applyBorder="1" applyAlignment="1">
      <alignment horizontal="left" vertical="center" readingOrder="1"/>
    </xf>
    <xf numFmtId="0" fontId="25" fillId="0" borderId="2" xfId="0" applyFont="1" applyBorder="1" applyAlignment="1">
      <alignment horizontal="center" vertical="center" readingOrder="1"/>
    </xf>
    <xf numFmtId="0" fontId="22" fillId="0" borderId="2" xfId="0" applyFont="1" applyBorder="1" applyAlignment="1">
      <alignment horizontal="center" vertical="center" wrapText="1" readingOrder="1"/>
    </xf>
    <xf numFmtId="10" fontId="25" fillId="0" borderId="2" xfId="1" applyNumberFormat="1" applyFont="1" applyBorder="1" applyAlignment="1">
      <alignment horizontal="center" vertical="center" readingOrder="1"/>
    </xf>
    <xf numFmtId="10" fontId="24" fillId="0" borderId="2" xfId="0" applyNumberFormat="1" applyFont="1" applyBorder="1" applyAlignment="1">
      <alignment horizontal="center" readingOrder="1"/>
    </xf>
    <xf numFmtId="10" fontId="23" fillId="0" borderId="2" xfId="0" applyNumberFormat="1" applyFont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wrapText="1"/>
    </xf>
    <xf numFmtId="10" fontId="26" fillId="0" borderId="1" xfId="0" applyNumberFormat="1" applyFont="1" applyBorder="1" applyAlignment="1">
      <alignment horizontal="center"/>
    </xf>
    <xf numFmtId="165" fontId="17" fillId="2" borderId="1" xfId="0" applyNumberFormat="1" applyFont="1" applyFill="1" applyBorder="1" applyAlignment="1">
      <alignment horizontal="center"/>
    </xf>
    <xf numFmtId="167" fontId="17" fillId="2" borderId="1" xfId="0" applyNumberFormat="1" applyFont="1" applyFill="1" applyBorder="1" applyAlignment="1">
      <alignment horizontal="center"/>
    </xf>
    <xf numFmtId="10" fontId="4" fillId="2" borderId="1" xfId="1" applyNumberFormat="1" applyFont="1" applyFill="1" applyBorder="1" applyAlignment="1">
      <alignment horizontal="center"/>
    </xf>
    <xf numFmtId="10" fontId="26" fillId="2" borderId="1" xfId="0" applyNumberFormat="1" applyFont="1" applyFill="1" applyBorder="1" applyAlignment="1">
      <alignment horizontal="center"/>
    </xf>
    <xf numFmtId="0" fontId="27" fillId="0" borderId="0" xfId="0" applyFont="1"/>
    <xf numFmtId="0" fontId="27" fillId="0" borderId="1" xfId="0" applyFont="1" applyBorder="1"/>
    <xf numFmtId="167" fontId="17" fillId="0" borderId="1" xfId="0" applyNumberFormat="1" applyFont="1" applyBorder="1"/>
    <xf numFmtId="165" fontId="27" fillId="0" borderId="1" xfId="0" applyNumberFormat="1" applyFont="1" applyBorder="1"/>
    <xf numFmtId="172" fontId="19" fillId="0" borderId="11" xfId="0" applyNumberFormat="1" applyFont="1" applyBorder="1"/>
    <xf numFmtId="0" fontId="0" fillId="7" borderId="0" xfId="0" applyFill="1"/>
    <xf numFmtId="0" fontId="17" fillId="7" borderId="0" xfId="0" applyFont="1" applyFill="1"/>
    <xf numFmtId="0" fontId="3" fillId="0" borderId="3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 readingOrder="1"/>
    </xf>
  </cellXfs>
  <cellStyles count="5">
    <cellStyle name="ColumnHeaderNormal" xfId="3" xr:uid="{4030D2B7-1138-48A4-8FB6-2CD5C09D2555}"/>
    <cellStyle name="Currency" xfId="2" builtinId="4"/>
    <cellStyle name="Normal" xfId="0" builtinId="0"/>
    <cellStyle name="Percent" xfId="1" builtinId="5"/>
    <cellStyle name="TextNormal" xfId="4" xr:uid="{939EFBD8-AF9B-4661-A7E0-02A976C66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</xdr:colOff>
      <xdr:row>18</xdr:row>
      <xdr:rowOff>228600</xdr:rowOff>
    </xdr:from>
    <xdr:to>
      <xdr:col>6</xdr:col>
      <xdr:colOff>495300</xdr:colOff>
      <xdr:row>20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95941A-A63A-46F5-923B-70EBBA42A2C4}"/>
            </a:ext>
          </a:extLst>
        </xdr:cNvPr>
        <xdr:cNvCxnSpPr/>
      </xdr:nvCxnSpPr>
      <xdr:spPr>
        <a:xfrm flipH="1">
          <a:off x="3892550" y="4578350"/>
          <a:ext cx="2457450" cy="387350"/>
        </a:xfrm>
        <a:prstGeom prst="straightConnector1">
          <a:avLst/>
        </a:prstGeom>
        <a:ln>
          <a:solidFill>
            <a:srgbClr val="FF0000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234950</xdr:colOff>
      <xdr:row>12</xdr:row>
      <xdr:rowOff>539750</xdr:rowOff>
    </xdr:from>
    <xdr:to>
      <xdr:col>6</xdr:col>
      <xdr:colOff>57150</xdr:colOff>
      <xdr:row>37</xdr:row>
      <xdr:rowOff>184150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B711EC-EB00-4250-AB38-B505EE80D320}"/>
            </a:ext>
          </a:extLst>
        </xdr:cNvPr>
        <xdr:cNvCxnSpPr/>
      </xdr:nvCxnSpPr>
      <xdr:spPr>
        <a:xfrm flipH="1">
          <a:off x="2565400" y="3302000"/>
          <a:ext cx="3695700" cy="5518150"/>
        </a:xfrm>
        <a:prstGeom prst="straightConnector1">
          <a:avLst/>
        </a:prstGeom>
        <a:ln>
          <a:solidFill>
            <a:srgbClr val="FF0000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63500</xdr:rowOff>
    </xdr:from>
    <xdr:to>
      <xdr:col>3</xdr:col>
      <xdr:colOff>355600</xdr:colOff>
      <xdr:row>48</xdr:row>
      <xdr:rowOff>50800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3BCE7FE-91FF-4F1E-876F-8DE30B545B04}"/>
            </a:ext>
          </a:extLst>
        </xdr:cNvPr>
        <xdr:cNvCxnSpPr/>
      </xdr:nvCxnSpPr>
      <xdr:spPr>
        <a:xfrm flipH="1">
          <a:off x="3206750" y="5353050"/>
          <a:ext cx="355600" cy="5867400"/>
        </a:xfrm>
        <a:prstGeom prst="straightConnector1">
          <a:avLst/>
        </a:prstGeom>
        <a:ln>
          <a:solidFill>
            <a:srgbClr val="FF0000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15</xdr:row>
      <xdr:rowOff>25400</xdr:rowOff>
    </xdr:from>
    <xdr:to>
      <xdr:col>26</xdr:col>
      <xdr:colOff>361950</xdr:colOff>
      <xdr:row>15</xdr:row>
      <xdr:rowOff>69850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362D3B0-A911-4B36-8288-6C90AA3F5657}"/>
            </a:ext>
          </a:extLst>
        </xdr:cNvPr>
        <xdr:cNvCxnSpPr/>
      </xdr:nvCxnSpPr>
      <xdr:spPr>
        <a:xfrm flipH="1">
          <a:off x="3854450" y="3771900"/>
          <a:ext cx="18472150" cy="44450"/>
        </a:xfrm>
        <a:prstGeom prst="straightConnector1">
          <a:avLst/>
        </a:prstGeom>
        <a:ln>
          <a:solidFill>
            <a:srgbClr val="FF0000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260350</xdr:colOff>
      <xdr:row>15</xdr:row>
      <xdr:rowOff>139700</xdr:rowOff>
    </xdr:from>
    <xdr:to>
      <xdr:col>25</xdr:col>
      <xdr:colOff>95250</xdr:colOff>
      <xdr:row>15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C4357C7-C609-4460-9F78-267250570719}"/>
            </a:ext>
          </a:extLst>
        </xdr:cNvPr>
        <xdr:cNvCxnSpPr/>
      </xdr:nvCxnSpPr>
      <xdr:spPr>
        <a:xfrm flipH="1">
          <a:off x="6464300" y="3886200"/>
          <a:ext cx="15005050" cy="31750"/>
        </a:xfrm>
        <a:prstGeom prst="straightConnector1">
          <a:avLst/>
        </a:prstGeom>
        <a:ln>
          <a:solidFill>
            <a:srgbClr val="FF0000"/>
          </a:solidFill>
          <a:headEnd type="diamond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ses/Disneybottomupbe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ney cost of capital"/>
      <sheetName val="Disney Cost of equity "/>
      <sheetName val="Disney levered beta"/>
      <sheetName val="Disney Bottom up unleve"/>
      <sheetName val="Segment betas &amp; details"/>
      <sheetName val="Broadcasting"/>
      <sheetName val="Theme Parks"/>
      <sheetName val="Movies"/>
      <sheetName val="Consumer Products"/>
      <sheetName val="Gaming"/>
      <sheetName val="Marg tax rate by count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Afghanistan</v>
          </cell>
          <cell r="B2">
            <v>0.2</v>
          </cell>
        </row>
        <row r="3">
          <cell r="A3" t="str">
            <v>Albania</v>
          </cell>
          <cell r="B3">
            <v>0.1</v>
          </cell>
        </row>
        <row r="4">
          <cell r="A4" t="str">
            <v>Angola</v>
          </cell>
          <cell r="B4">
            <v>0.35</v>
          </cell>
        </row>
        <row r="5">
          <cell r="A5" t="str">
            <v>Argentina</v>
          </cell>
          <cell r="B5">
            <v>0.35</v>
          </cell>
        </row>
        <row r="6">
          <cell r="A6" t="str">
            <v>Armenia</v>
          </cell>
          <cell r="B6">
            <v>0.2</v>
          </cell>
        </row>
        <row r="7">
          <cell r="A7" t="str">
            <v>Aruba</v>
          </cell>
          <cell r="B7">
            <v>0.28000000000000003</v>
          </cell>
        </row>
        <row r="8">
          <cell r="A8" t="str">
            <v>Australia</v>
          </cell>
          <cell r="B8">
            <v>0.3</v>
          </cell>
        </row>
        <row r="9">
          <cell r="A9" t="str">
            <v>Austria</v>
          </cell>
          <cell r="B9">
            <v>0.25</v>
          </cell>
        </row>
        <row r="10">
          <cell r="A10" t="str">
            <v>Bahamas</v>
          </cell>
          <cell r="B10">
            <v>0</v>
          </cell>
        </row>
        <row r="11">
          <cell r="A11" t="str">
            <v>Bahrain</v>
          </cell>
          <cell r="B11">
            <v>0</v>
          </cell>
        </row>
        <row r="12">
          <cell r="A12" t="str">
            <v>Bangladesh</v>
          </cell>
          <cell r="B12">
            <v>0.27500000000000002</v>
          </cell>
        </row>
        <row r="13">
          <cell r="A13" t="str">
            <v>Barbados</v>
          </cell>
          <cell r="B13">
            <v>0.25</v>
          </cell>
        </row>
        <row r="14">
          <cell r="A14" t="str">
            <v>Belarus</v>
          </cell>
          <cell r="B14">
            <v>0.18</v>
          </cell>
        </row>
        <row r="15">
          <cell r="A15" t="str">
            <v>Belgium</v>
          </cell>
          <cell r="B15">
            <v>0.33990000000000004</v>
          </cell>
        </row>
        <row r="16">
          <cell r="A16" t="str">
            <v>Bermuda</v>
          </cell>
          <cell r="B16">
            <v>0</v>
          </cell>
        </row>
        <row r="17">
          <cell r="A17" t="str">
            <v>Bolivia</v>
          </cell>
          <cell r="B17">
            <v>0.25</v>
          </cell>
        </row>
        <row r="18">
          <cell r="A18" t="str">
            <v>Bonaire</v>
          </cell>
          <cell r="B18">
            <v>0</v>
          </cell>
        </row>
        <row r="19">
          <cell r="A19" t="str">
            <v>Bosnia and Herzegovina</v>
          </cell>
          <cell r="B19">
            <v>0.1</v>
          </cell>
        </row>
        <row r="20">
          <cell r="A20" t="str">
            <v>Botswana</v>
          </cell>
          <cell r="B20">
            <v>0.22</v>
          </cell>
        </row>
        <row r="21">
          <cell r="A21" t="str">
            <v>Brazil</v>
          </cell>
          <cell r="B21">
            <v>0.34</v>
          </cell>
        </row>
        <row r="22">
          <cell r="A22" t="str">
            <v>Bulgaria</v>
          </cell>
          <cell r="B22">
            <v>0.1</v>
          </cell>
        </row>
        <row r="23">
          <cell r="A23" t="str">
            <v>Cambodia</v>
          </cell>
          <cell r="B23">
            <v>0.2</v>
          </cell>
        </row>
        <row r="24">
          <cell r="A24" t="str">
            <v>Canada</v>
          </cell>
          <cell r="B24">
            <v>0.26</v>
          </cell>
        </row>
        <row r="25">
          <cell r="A25" t="str">
            <v>Cayman Islands</v>
          </cell>
          <cell r="B25">
            <v>0</v>
          </cell>
        </row>
        <row r="26">
          <cell r="A26" t="str">
            <v>Chile</v>
          </cell>
          <cell r="B26">
            <v>0.185</v>
          </cell>
        </row>
        <row r="27">
          <cell r="A27" t="str">
            <v>China</v>
          </cell>
          <cell r="B27">
            <v>0.25</v>
          </cell>
        </row>
        <row r="28">
          <cell r="A28" t="str">
            <v>Colombia</v>
          </cell>
          <cell r="B28">
            <v>0.33</v>
          </cell>
        </row>
        <row r="29">
          <cell r="A29" t="str">
            <v>Costa Rica</v>
          </cell>
          <cell r="B29">
            <v>0.3</v>
          </cell>
        </row>
        <row r="30">
          <cell r="A30" t="str">
            <v>Croatia</v>
          </cell>
          <cell r="B30">
            <v>0.2</v>
          </cell>
        </row>
        <row r="31">
          <cell r="A31" t="str">
            <v>Curacao</v>
          </cell>
          <cell r="B31">
            <v>0.27500000000000002</v>
          </cell>
        </row>
        <row r="32">
          <cell r="A32" t="str">
            <v>Cyprus</v>
          </cell>
          <cell r="B32">
            <v>0.1</v>
          </cell>
        </row>
        <row r="33">
          <cell r="A33" t="str">
            <v>Czech Republic</v>
          </cell>
          <cell r="B33">
            <v>0.19</v>
          </cell>
        </row>
        <row r="34">
          <cell r="A34" t="str">
            <v>Denmark</v>
          </cell>
          <cell r="B34">
            <v>0.25</v>
          </cell>
        </row>
        <row r="35">
          <cell r="A35" t="str">
            <v>Dominican Republic</v>
          </cell>
          <cell r="B35">
            <v>0.28999999999999998</v>
          </cell>
        </row>
        <row r="36">
          <cell r="A36" t="str">
            <v>Ecuador</v>
          </cell>
          <cell r="B36">
            <v>0.23</v>
          </cell>
        </row>
        <row r="37">
          <cell r="A37" t="str">
            <v>Egypt</v>
          </cell>
          <cell r="B37">
            <v>0.25</v>
          </cell>
        </row>
        <row r="38">
          <cell r="A38" t="str">
            <v>Estonia</v>
          </cell>
          <cell r="B38">
            <v>0.21</v>
          </cell>
        </row>
        <row r="39">
          <cell r="A39" t="str">
            <v>El Salvador</v>
          </cell>
          <cell r="B39">
            <v>0.3</v>
          </cell>
        </row>
        <row r="40">
          <cell r="A40" t="str">
            <v>Fiji</v>
          </cell>
          <cell r="B40">
            <v>0.28000000000000003</v>
          </cell>
        </row>
        <row r="41">
          <cell r="A41" t="str">
            <v>Finland</v>
          </cell>
          <cell r="B41">
            <v>0.245</v>
          </cell>
        </row>
        <row r="42">
          <cell r="A42" t="str">
            <v>France</v>
          </cell>
          <cell r="B42">
            <v>0.33329999999999999</v>
          </cell>
        </row>
        <row r="43">
          <cell r="A43" t="str">
            <v>Georgia</v>
          </cell>
          <cell r="B43">
            <v>0</v>
          </cell>
        </row>
        <row r="44">
          <cell r="A44" t="str">
            <v>Germany</v>
          </cell>
          <cell r="B44">
            <v>0.29480000000000001</v>
          </cell>
        </row>
        <row r="45">
          <cell r="A45" t="str">
            <v>Gibraltar</v>
          </cell>
          <cell r="B45">
            <v>0.1</v>
          </cell>
        </row>
        <row r="46">
          <cell r="A46" t="str">
            <v>Greece</v>
          </cell>
          <cell r="B46">
            <v>0.2</v>
          </cell>
        </row>
        <row r="47">
          <cell r="A47" t="str">
            <v>Guatemala</v>
          </cell>
          <cell r="B47">
            <v>0.31</v>
          </cell>
        </row>
        <row r="48">
          <cell r="A48" t="str">
            <v>Guernsey</v>
          </cell>
          <cell r="B48">
            <v>0</v>
          </cell>
        </row>
        <row r="49">
          <cell r="A49" t="str">
            <v>Honduras</v>
          </cell>
          <cell r="B49">
            <v>0.35</v>
          </cell>
        </row>
        <row r="50">
          <cell r="A50" t="str">
            <v>Hong Kong</v>
          </cell>
          <cell r="B50">
            <v>0.16500000000000001</v>
          </cell>
        </row>
        <row r="51">
          <cell r="A51" t="str">
            <v>Hungary</v>
          </cell>
          <cell r="B51">
            <v>0.19</v>
          </cell>
        </row>
        <row r="52">
          <cell r="A52" t="str">
            <v>Iceland</v>
          </cell>
          <cell r="B52">
            <v>0.2</v>
          </cell>
        </row>
        <row r="53">
          <cell r="A53" t="str">
            <v>India</v>
          </cell>
          <cell r="B53">
            <v>0.32450000000000001</v>
          </cell>
        </row>
        <row r="54">
          <cell r="A54" t="str">
            <v>Indonesia</v>
          </cell>
          <cell r="B54">
            <v>0.25</v>
          </cell>
        </row>
        <row r="55">
          <cell r="A55" t="str">
            <v>Ireland</v>
          </cell>
          <cell r="B55">
            <v>0.125</v>
          </cell>
        </row>
        <row r="56">
          <cell r="A56" t="str">
            <v>Isle of Man</v>
          </cell>
          <cell r="B56">
            <v>0</v>
          </cell>
        </row>
        <row r="57">
          <cell r="A57" t="str">
            <v>Israel</v>
          </cell>
          <cell r="B57">
            <v>0.25</v>
          </cell>
        </row>
        <row r="58">
          <cell r="A58" t="str">
            <v>Italy</v>
          </cell>
          <cell r="B58">
            <v>0.314</v>
          </cell>
        </row>
        <row r="59">
          <cell r="A59" t="str">
            <v>Jamaica</v>
          </cell>
          <cell r="B59">
            <v>0.33329999999999999</v>
          </cell>
        </row>
        <row r="60">
          <cell r="A60" t="str">
            <v>Japan</v>
          </cell>
          <cell r="B60">
            <v>0.38009999999999999</v>
          </cell>
        </row>
        <row r="61">
          <cell r="A61" t="str">
            <v>Jersey</v>
          </cell>
          <cell r="B61">
            <v>0</v>
          </cell>
        </row>
        <row r="62">
          <cell r="A62" t="str">
            <v>Jordan</v>
          </cell>
          <cell r="B62">
            <v>0.14000000000000001</v>
          </cell>
        </row>
        <row r="63">
          <cell r="A63" t="str">
            <v>Kazakhstan</v>
          </cell>
          <cell r="B63">
            <v>0.2</v>
          </cell>
        </row>
        <row r="64">
          <cell r="A64" t="str">
            <v>Kenya</v>
          </cell>
          <cell r="B64">
            <v>0.3</v>
          </cell>
        </row>
        <row r="65">
          <cell r="A65" t="str">
            <v>Korea, Republic of</v>
          </cell>
          <cell r="B65">
            <v>0.24199999999999999</v>
          </cell>
        </row>
        <row r="66">
          <cell r="A66" t="str">
            <v>Kuwait</v>
          </cell>
          <cell r="B66">
            <v>0.15</v>
          </cell>
        </row>
        <row r="67">
          <cell r="A67" t="str">
            <v>Latvia</v>
          </cell>
          <cell r="B67">
            <v>0.15</v>
          </cell>
        </row>
        <row r="68">
          <cell r="A68" t="str">
            <v>Libya</v>
          </cell>
          <cell r="B68">
            <v>0.2</v>
          </cell>
        </row>
        <row r="69">
          <cell r="A69" t="str">
            <v>Liechtenstein</v>
          </cell>
          <cell r="B69">
            <v>0.125</v>
          </cell>
        </row>
        <row r="70">
          <cell r="A70" t="str">
            <v>Lithuania</v>
          </cell>
          <cell r="B70">
            <v>0.15</v>
          </cell>
        </row>
        <row r="71">
          <cell r="A71" t="str">
            <v>Luxembourg</v>
          </cell>
          <cell r="B71">
            <v>0.28800000000000003</v>
          </cell>
        </row>
        <row r="72">
          <cell r="A72" t="str">
            <v>Macau</v>
          </cell>
          <cell r="B72">
            <v>0.12</v>
          </cell>
        </row>
        <row r="73">
          <cell r="A73" t="str">
            <v>Macedonia</v>
          </cell>
          <cell r="B73">
            <v>0.1</v>
          </cell>
        </row>
        <row r="74">
          <cell r="A74" t="str">
            <v>Malawi</v>
          </cell>
          <cell r="B74">
            <v>0.3</v>
          </cell>
        </row>
        <row r="75">
          <cell r="A75" t="str">
            <v>Malaysia</v>
          </cell>
          <cell r="B75">
            <v>0.25</v>
          </cell>
        </row>
        <row r="76">
          <cell r="A76" t="str">
            <v>Malta</v>
          </cell>
          <cell r="B76">
            <v>0.35</v>
          </cell>
        </row>
        <row r="77">
          <cell r="A77" t="str">
            <v>Mauritius</v>
          </cell>
          <cell r="B77">
            <v>0.15</v>
          </cell>
        </row>
        <row r="78">
          <cell r="A78" t="str">
            <v>Mexico</v>
          </cell>
          <cell r="B78">
            <v>0.3</v>
          </cell>
        </row>
        <row r="79">
          <cell r="A79" t="str">
            <v>Montenegro</v>
          </cell>
          <cell r="B79">
            <v>0.09</v>
          </cell>
        </row>
        <row r="80">
          <cell r="A80" t="str">
            <v>Mozambique</v>
          </cell>
          <cell r="B80">
            <v>0.32</v>
          </cell>
        </row>
        <row r="81">
          <cell r="A81" t="str">
            <v>Namibia</v>
          </cell>
          <cell r="B81">
            <v>0.34</v>
          </cell>
        </row>
        <row r="82">
          <cell r="A82" t="str">
            <v>Netherlands</v>
          </cell>
          <cell r="B82">
            <v>0.25</v>
          </cell>
        </row>
        <row r="83">
          <cell r="A83" t="str">
            <v>New Zealand</v>
          </cell>
          <cell r="B83">
            <v>0.28000000000000003</v>
          </cell>
        </row>
        <row r="84">
          <cell r="A84" t="str">
            <v>Nigeria</v>
          </cell>
          <cell r="B84">
            <v>0.3</v>
          </cell>
        </row>
        <row r="85">
          <cell r="A85" t="str">
            <v>Norway</v>
          </cell>
          <cell r="B85">
            <v>0.28000000000000003</v>
          </cell>
        </row>
        <row r="86">
          <cell r="A86" t="str">
            <v>Oman</v>
          </cell>
          <cell r="B86">
            <v>0.12</v>
          </cell>
        </row>
        <row r="87">
          <cell r="A87" t="str">
            <v>Pakistan</v>
          </cell>
          <cell r="B87">
            <v>0.35</v>
          </cell>
        </row>
        <row r="88">
          <cell r="A88" t="str">
            <v>Panama</v>
          </cell>
          <cell r="B88">
            <v>0.25</v>
          </cell>
        </row>
        <row r="89">
          <cell r="A89" t="str">
            <v>Papua New Guinea</v>
          </cell>
          <cell r="B89">
            <v>0.3</v>
          </cell>
        </row>
        <row r="90">
          <cell r="A90" t="str">
            <v>Paraguay</v>
          </cell>
          <cell r="B90">
            <v>0.1</v>
          </cell>
        </row>
        <row r="91">
          <cell r="A91" t="str">
            <v>Peru</v>
          </cell>
          <cell r="B91">
            <v>0.3</v>
          </cell>
        </row>
        <row r="92">
          <cell r="A92" t="str">
            <v>Philippines</v>
          </cell>
          <cell r="B92">
            <v>0.3</v>
          </cell>
        </row>
        <row r="93">
          <cell r="A93" t="str">
            <v>Poland</v>
          </cell>
          <cell r="B93">
            <v>0.19</v>
          </cell>
        </row>
        <row r="94">
          <cell r="A94" t="str">
            <v>Portugal</v>
          </cell>
          <cell r="B94">
            <v>0.25</v>
          </cell>
        </row>
        <row r="95">
          <cell r="A95" t="str">
            <v>Qatar</v>
          </cell>
          <cell r="B95">
            <v>0.1</v>
          </cell>
        </row>
        <row r="96">
          <cell r="A96" t="str">
            <v>Romania</v>
          </cell>
          <cell r="B96">
            <v>0.16</v>
          </cell>
        </row>
        <row r="97">
          <cell r="A97" t="str">
            <v>Russia</v>
          </cell>
          <cell r="B97">
            <v>0.2</v>
          </cell>
        </row>
        <row r="98">
          <cell r="A98" t="str">
            <v>Saba</v>
          </cell>
          <cell r="B98">
            <v>0</v>
          </cell>
        </row>
        <row r="99">
          <cell r="A99" t="str">
            <v>Samoa</v>
          </cell>
          <cell r="B99">
            <v>0.27</v>
          </cell>
        </row>
        <row r="100">
          <cell r="A100" t="str">
            <v>Saudi Arabia</v>
          </cell>
          <cell r="B100">
            <v>0.2</v>
          </cell>
        </row>
        <row r="101">
          <cell r="A101" t="str">
            <v>Serbia</v>
          </cell>
          <cell r="B101">
            <v>0.1</v>
          </cell>
        </row>
        <row r="102">
          <cell r="A102" t="str">
            <v>Singapore</v>
          </cell>
          <cell r="B102">
            <v>0.17</v>
          </cell>
        </row>
        <row r="103">
          <cell r="A103" t="str">
            <v>Slovak Republic</v>
          </cell>
          <cell r="B103">
            <v>0.19</v>
          </cell>
        </row>
        <row r="104">
          <cell r="A104" t="str">
            <v>Slovenia</v>
          </cell>
          <cell r="B104">
            <v>0.18</v>
          </cell>
        </row>
        <row r="105">
          <cell r="A105" t="str">
            <v>South Africa</v>
          </cell>
          <cell r="B105">
            <v>0.34549999999999997</v>
          </cell>
        </row>
        <row r="106">
          <cell r="A106" t="str">
            <v>Spain</v>
          </cell>
          <cell r="B106">
            <v>0.3</v>
          </cell>
        </row>
        <row r="107">
          <cell r="A107" t="str">
            <v>Sri Lanka</v>
          </cell>
          <cell r="B107">
            <v>0.28000000000000003</v>
          </cell>
        </row>
        <row r="108">
          <cell r="A108" t="str">
            <v>St Eustatius</v>
          </cell>
          <cell r="B108">
            <v>0</v>
          </cell>
        </row>
        <row r="109">
          <cell r="A109" t="str">
            <v>St Maarten</v>
          </cell>
          <cell r="B109">
            <v>0.34499999999999997</v>
          </cell>
        </row>
        <row r="110">
          <cell r="A110" t="str">
            <v>Sudan</v>
          </cell>
          <cell r="B110">
            <v>0.35</v>
          </cell>
        </row>
        <row r="111">
          <cell r="A111" t="str">
            <v>Sweden</v>
          </cell>
          <cell r="B111">
            <v>0.26300000000000001</v>
          </cell>
        </row>
        <row r="112">
          <cell r="A112" t="str">
            <v>Switzerland</v>
          </cell>
          <cell r="B112">
            <v>0.21170000000000003</v>
          </cell>
        </row>
        <row r="113">
          <cell r="A113" t="str">
            <v>Syria</v>
          </cell>
          <cell r="B113">
            <v>0.28000000000000003</v>
          </cell>
        </row>
        <row r="114">
          <cell r="A114" t="str">
            <v>Taiwan</v>
          </cell>
          <cell r="B114">
            <v>0.17</v>
          </cell>
        </row>
        <row r="115">
          <cell r="A115" t="str">
            <v>Tanzania</v>
          </cell>
          <cell r="B115">
            <v>0.3</v>
          </cell>
        </row>
        <row r="116">
          <cell r="A116" t="str">
            <v>Thailand</v>
          </cell>
          <cell r="B116">
            <v>0.23</v>
          </cell>
        </row>
        <row r="117">
          <cell r="A117" t="str">
            <v>Trinidad and Tobago</v>
          </cell>
          <cell r="B117">
            <v>0.25</v>
          </cell>
        </row>
        <row r="118">
          <cell r="A118" t="str">
            <v>Tunisia</v>
          </cell>
          <cell r="B118">
            <v>0.3</v>
          </cell>
        </row>
        <row r="119">
          <cell r="A119" t="str">
            <v>Turkey</v>
          </cell>
          <cell r="B119">
            <v>0.2</v>
          </cell>
        </row>
        <row r="120">
          <cell r="A120" t="str">
            <v>Uganda</v>
          </cell>
          <cell r="B120">
            <v>0.3</v>
          </cell>
        </row>
        <row r="121">
          <cell r="A121" t="str">
            <v>Ukraine</v>
          </cell>
          <cell r="B121">
            <v>0.21</v>
          </cell>
        </row>
        <row r="122">
          <cell r="A122" t="str">
            <v>United Arab Emirates</v>
          </cell>
          <cell r="B122">
            <v>0.55000000000000004</v>
          </cell>
        </row>
        <row r="123">
          <cell r="A123" t="str">
            <v>United Kingdom</v>
          </cell>
          <cell r="B123">
            <v>0.24</v>
          </cell>
        </row>
        <row r="124">
          <cell r="A124" t="str">
            <v>United States</v>
          </cell>
          <cell r="B124">
            <v>0.4</v>
          </cell>
        </row>
        <row r="125">
          <cell r="A125" t="str">
            <v>Uruguay</v>
          </cell>
          <cell r="B125">
            <v>0.25</v>
          </cell>
        </row>
        <row r="126">
          <cell r="A126" t="str">
            <v>Vanuatu</v>
          </cell>
          <cell r="B126">
            <v>0</v>
          </cell>
        </row>
        <row r="127">
          <cell r="A127" t="str">
            <v>Venezuela</v>
          </cell>
          <cell r="B127">
            <v>0.34</v>
          </cell>
        </row>
        <row r="128">
          <cell r="A128" t="str">
            <v>Vietnam</v>
          </cell>
          <cell r="B128">
            <v>0.25</v>
          </cell>
        </row>
        <row r="129">
          <cell r="A129" t="str">
            <v>Yemen</v>
          </cell>
          <cell r="B129">
            <v>0.2</v>
          </cell>
        </row>
        <row r="130">
          <cell r="A130" t="str">
            <v>Zambia</v>
          </cell>
          <cell r="B130">
            <v>0.35</v>
          </cell>
        </row>
        <row r="131">
          <cell r="A131" t="str">
            <v>Zimbabwe</v>
          </cell>
          <cell r="B131">
            <v>0.25750000000000001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anagiotis Tziogkidis" id="{0419566C-B0BD-480C-86BD-E50D45BFF02B}" userId="S::panagiotis.tziogkidis@plymouth.ac.uk::b57d3101-d0b4-4f7f-8781-8fd966817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0-09-07T06:49:07.71" personId="{0419566C-B0BD-480C-86BD-E50D45BFF02B}" id="{F0799EBC-9B55-49BC-92C7-A38630EBA4E1}">
    <text>Selling, general and administrative expense (SG&amp;A) is reported on the income statement as the sum of all direct and indirect selling expenses and all general and administrative expenses (G&amp;A) of a company. SG&amp;A, also known as SGA, includes all the costs not directly tied to making a product or performing a service. That is, SG&amp;A includes the costs to sell and deliver products and services and the costs to manage the company.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CFACA-E16A-4AEF-BE23-F39A1C79AD70}">
  <dimension ref="B2:D19"/>
  <sheetViews>
    <sheetView workbookViewId="0">
      <selection activeCell="C3" sqref="C3"/>
    </sheetView>
  </sheetViews>
  <sheetFormatPr defaultRowHeight="14.5"/>
  <cols>
    <col min="2" max="2" width="41.453125" customWidth="1"/>
  </cols>
  <sheetData>
    <row r="2" spans="2:3">
      <c r="B2" t="s">
        <v>1</v>
      </c>
    </row>
    <row r="3" spans="2:3">
      <c r="B3" t="s">
        <v>3</v>
      </c>
      <c r="C3" s="1">
        <v>2.75E-2</v>
      </c>
    </row>
    <row r="4" spans="2:3">
      <c r="B4" t="s">
        <v>13</v>
      </c>
      <c r="C4" s="1">
        <v>1.7500000000000002E-2</v>
      </c>
    </row>
    <row r="5" spans="2:3">
      <c r="B5" t="s">
        <v>2</v>
      </c>
      <c r="C5" s="1">
        <v>8.8200000000000001E-2</v>
      </c>
    </row>
    <row r="6" spans="2:3">
      <c r="B6" t="s">
        <v>7</v>
      </c>
      <c r="C6" s="1">
        <v>2.2499999999999999E-2</v>
      </c>
    </row>
    <row r="7" spans="2:3">
      <c r="B7" t="s">
        <v>4</v>
      </c>
      <c r="C7" s="1">
        <f>+C5-C6</f>
        <v>6.5700000000000008E-2</v>
      </c>
    </row>
    <row r="8" spans="2:3">
      <c r="B8" t="s">
        <v>6</v>
      </c>
      <c r="C8" s="1">
        <v>4.2999999999999997E-2</v>
      </c>
    </row>
    <row r="9" spans="2:3">
      <c r="B9" t="s">
        <v>65</v>
      </c>
      <c r="C9" s="1">
        <v>8.0000000000000002E-3</v>
      </c>
    </row>
    <row r="10" spans="2:3">
      <c r="B10" t="s">
        <v>5</v>
      </c>
      <c r="C10" s="1">
        <f>+C8-C9</f>
        <v>3.4999999999999996E-2</v>
      </c>
    </row>
    <row r="11" spans="2:3">
      <c r="B11" t="s">
        <v>62</v>
      </c>
      <c r="C11" s="1">
        <v>0.12180000000000001</v>
      </c>
    </row>
    <row r="12" spans="2:3">
      <c r="B12" t="s">
        <v>63</v>
      </c>
      <c r="C12" s="14">
        <v>0.02</v>
      </c>
    </row>
    <row r="13" spans="2:3">
      <c r="B13" t="s">
        <v>64</v>
      </c>
      <c r="C13" s="1">
        <f>+C11-C12</f>
        <v>0.1018</v>
      </c>
    </row>
    <row r="15" spans="2:3">
      <c r="B15" t="s">
        <v>0</v>
      </c>
      <c r="C15" s="1">
        <v>4.2500000000000003E-2</v>
      </c>
    </row>
    <row r="16" spans="2:3">
      <c r="B16" t="s">
        <v>9</v>
      </c>
      <c r="C16" s="1">
        <f>C15-C3</f>
        <v>1.5000000000000003E-2</v>
      </c>
    </row>
    <row r="17" spans="2:4">
      <c r="B17" t="s">
        <v>8</v>
      </c>
      <c r="C17" s="1">
        <f>C15-C16</f>
        <v>2.75E-2</v>
      </c>
      <c r="D17" t="s">
        <v>10</v>
      </c>
    </row>
    <row r="18" spans="2:4">
      <c r="D18" t="s">
        <v>11</v>
      </c>
    </row>
    <row r="19" spans="2:4">
      <c r="D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778E-E2DF-45D2-B291-60CB9942E512}">
  <dimension ref="B2:C25"/>
  <sheetViews>
    <sheetView workbookViewId="0">
      <selection activeCell="D34" sqref="D34"/>
    </sheetView>
  </sheetViews>
  <sheetFormatPr defaultRowHeight="14.5"/>
  <cols>
    <col min="3" max="3" width="20.7265625" bestFit="1" customWidth="1"/>
  </cols>
  <sheetData>
    <row r="2" spans="2:3">
      <c r="B2" s="2" t="s">
        <v>14</v>
      </c>
      <c r="C2" s="3" t="s">
        <v>15</v>
      </c>
    </row>
    <row r="3" spans="2:3">
      <c r="B3" s="4" t="s">
        <v>16</v>
      </c>
      <c r="C3" s="5">
        <v>0</v>
      </c>
    </row>
    <row r="4" spans="2:3">
      <c r="B4" s="4" t="s">
        <v>17</v>
      </c>
      <c r="C4" s="5">
        <v>33.188595524410928</v>
      </c>
    </row>
    <row r="5" spans="2:3">
      <c r="B5" s="4" t="s">
        <v>18</v>
      </c>
      <c r="C5" s="5">
        <v>41.485744405513664</v>
      </c>
    </row>
    <row r="6" spans="2:3">
      <c r="B6" s="4" t="s">
        <v>19</v>
      </c>
      <c r="C6" s="5">
        <v>50.53717954853483</v>
      </c>
    </row>
    <row r="7" spans="2:3">
      <c r="B7" s="4" t="s">
        <v>20</v>
      </c>
      <c r="C7" s="5">
        <v>58.834328429637566</v>
      </c>
    </row>
    <row r="8" spans="2:3">
      <c r="B8" s="4" t="s">
        <v>21</v>
      </c>
      <c r="C8" s="5">
        <v>70.90290862033244</v>
      </c>
    </row>
    <row r="9" spans="2:3">
      <c r="B9" s="4" t="s">
        <v>22</v>
      </c>
      <c r="C9" s="5">
        <v>100.32007283515124</v>
      </c>
    </row>
    <row r="10" spans="2:3">
      <c r="B10" s="4" t="s">
        <v>23</v>
      </c>
      <c r="C10" s="5">
        <v>133.50866835956217</v>
      </c>
    </row>
    <row r="11" spans="2:3">
      <c r="B11" s="4" t="s">
        <v>24</v>
      </c>
      <c r="C11" s="5">
        <v>159.15440126478879</v>
      </c>
    </row>
    <row r="12" spans="2:3">
      <c r="B12" s="4" t="s">
        <v>25</v>
      </c>
      <c r="C12" s="5">
        <v>184.04584790809699</v>
      </c>
    </row>
    <row r="13" spans="2:3">
      <c r="B13" s="4" t="s">
        <v>26</v>
      </c>
      <c r="C13" s="5">
        <v>208.93729455140522</v>
      </c>
    </row>
    <row r="14" spans="2:3">
      <c r="B14" s="4" t="s">
        <v>27</v>
      </c>
      <c r="C14" s="5">
        <v>251.17732521883724</v>
      </c>
    </row>
    <row r="15" spans="2:3">
      <c r="B15" s="4" t="s">
        <v>28</v>
      </c>
      <c r="C15" s="5">
        <v>300.96021850545372</v>
      </c>
    </row>
    <row r="16" spans="2:3">
      <c r="B16" s="4" t="s">
        <v>29</v>
      </c>
      <c r="C16" s="5">
        <v>376.38884469729675</v>
      </c>
    </row>
    <row r="17" spans="2:3">
      <c r="B17" s="4" t="s">
        <v>30</v>
      </c>
      <c r="C17" s="5">
        <v>460.11461977024243</v>
      </c>
    </row>
    <row r="18" spans="2:3">
      <c r="B18" s="4" t="s">
        <v>31</v>
      </c>
      <c r="C18" s="5">
        <v>543.84039484318816</v>
      </c>
    </row>
    <row r="19" spans="2:3">
      <c r="B19" s="4" t="s">
        <v>32</v>
      </c>
      <c r="C19" s="5">
        <v>626.81188365421565</v>
      </c>
    </row>
    <row r="20" spans="2:3">
      <c r="B20" s="4" t="s">
        <v>33</v>
      </c>
      <c r="C20" s="5">
        <v>752.77768939459349</v>
      </c>
    </row>
    <row r="21" spans="2:3">
      <c r="B21" s="4" t="s">
        <v>34</v>
      </c>
      <c r="C21" s="5">
        <v>835.74917820562086</v>
      </c>
    </row>
    <row r="22" spans="2:3">
      <c r="B22" s="4" t="s">
        <v>35</v>
      </c>
      <c r="C22" s="5">
        <v>1003.2007283515122</v>
      </c>
    </row>
    <row r="24" spans="2:3">
      <c r="B24" s="6" t="s">
        <v>36</v>
      </c>
    </row>
    <row r="25" spans="2:3">
      <c r="B25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DD7B-3604-4CE3-9D0E-8091165A42D4}">
  <dimension ref="B3:R19"/>
  <sheetViews>
    <sheetView workbookViewId="0">
      <selection activeCell="F15" sqref="F15"/>
    </sheetView>
  </sheetViews>
  <sheetFormatPr defaultRowHeight="14.5"/>
  <cols>
    <col min="2" max="2" width="16.1796875" customWidth="1"/>
    <col min="3" max="3" width="12.90625" customWidth="1"/>
    <col min="11" max="11" width="18.54296875" customWidth="1"/>
    <col min="16" max="16" width="12.26953125" customWidth="1"/>
  </cols>
  <sheetData>
    <row r="3" spans="2:18" ht="52" customHeight="1">
      <c r="B3" s="8"/>
      <c r="C3" s="149" t="s">
        <v>38</v>
      </c>
      <c r="D3" s="150"/>
      <c r="E3" s="149" t="s">
        <v>39</v>
      </c>
      <c r="F3" s="150"/>
      <c r="I3" s="10" t="s">
        <v>49</v>
      </c>
      <c r="J3" s="10" t="s">
        <v>14</v>
      </c>
      <c r="K3" s="11" t="s">
        <v>50</v>
      </c>
      <c r="L3" s="11" t="s">
        <v>51</v>
      </c>
      <c r="M3" s="11" t="s">
        <v>52</v>
      </c>
      <c r="O3" s="15" t="s">
        <v>49</v>
      </c>
      <c r="P3" s="16" t="s">
        <v>66</v>
      </c>
      <c r="Q3" s="15" t="s">
        <v>51</v>
      </c>
      <c r="R3" s="15" t="s">
        <v>52</v>
      </c>
    </row>
    <row r="4" spans="2:18" ht="46.5">
      <c r="B4" s="8"/>
      <c r="C4" s="9" t="s">
        <v>40</v>
      </c>
      <c r="D4" s="9" t="s">
        <v>41</v>
      </c>
      <c r="E4" s="9" t="s">
        <v>40</v>
      </c>
      <c r="F4" s="9" t="s">
        <v>41</v>
      </c>
      <c r="I4" s="10" t="s">
        <v>53</v>
      </c>
      <c r="J4" s="10" t="s">
        <v>25</v>
      </c>
      <c r="K4" s="11" t="s">
        <v>54</v>
      </c>
      <c r="L4" s="13" t="s">
        <v>46</v>
      </c>
      <c r="M4" s="11" t="s">
        <v>55</v>
      </c>
      <c r="O4" s="10" t="s">
        <v>53</v>
      </c>
      <c r="P4" s="11" t="s">
        <v>46</v>
      </c>
      <c r="Q4" s="18" t="s">
        <v>46</v>
      </c>
      <c r="R4" s="17" t="s">
        <v>67</v>
      </c>
    </row>
    <row r="5" spans="2:18" ht="15.5">
      <c r="B5" s="8" t="s">
        <v>42</v>
      </c>
      <c r="C5" s="9" t="s">
        <v>43</v>
      </c>
      <c r="D5" s="9" t="s">
        <v>44</v>
      </c>
      <c r="E5" s="9" t="s">
        <v>45</v>
      </c>
      <c r="F5" s="12" t="s">
        <v>46</v>
      </c>
      <c r="I5" s="10" t="s">
        <v>56</v>
      </c>
      <c r="J5" s="10" t="s">
        <v>19</v>
      </c>
      <c r="K5" s="11" t="s">
        <v>57</v>
      </c>
      <c r="L5" s="13" t="s">
        <v>46</v>
      </c>
      <c r="M5" s="11" t="s">
        <v>58</v>
      </c>
      <c r="O5" s="10" t="s">
        <v>56</v>
      </c>
      <c r="P5" s="11" t="s">
        <v>68</v>
      </c>
      <c r="Q5" s="18" t="s">
        <v>46</v>
      </c>
      <c r="R5" s="17" t="s">
        <v>69</v>
      </c>
    </row>
    <row r="6" spans="2:18" ht="15.5">
      <c r="B6" s="8"/>
      <c r="C6" s="9" t="s">
        <v>47</v>
      </c>
      <c r="D6" s="9" t="s">
        <v>48</v>
      </c>
      <c r="E6" s="9"/>
      <c r="F6" s="9"/>
      <c r="I6" s="10" t="s">
        <v>59</v>
      </c>
      <c r="J6" s="10" t="s">
        <v>24</v>
      </c>
      <c r="K6" s="11" t="s">
        <v>60</v>
      </c>
      <c r="L6" s="13" t="s">
        <v>46</v>
      </c>
      <c r="M6" s="11" t="s">
        <v>61</v>
      </c>
      <c r="O6" s="10" t="s">
        <v>59</v>
      </c>
      <c r="P6" s="11" t="s">
        <v>70</v>
      </c>
      <c r="Q6" s="18" t="s">
        <v>46</v>
      </c>
      <c r="R6" s="17" t="s">
        <v>71</v>
      </c>
    </row>
    <row r="8" spans="2:18" ht="15.5">
      <c r="B8" t="s">
        <v>74</v>
      </c>
      <c r="I8" s="19" t="s">
        <v>72</v>
      </c>
      <c r="O8" s="19" t="s">
        <v>73</v>
      </c>
    </row>
    <row r="13" spans="2:18">
      <c r="B13" t="s">
        <v>183</v>
      </c>
    </row>
    <row r="14" spans="2:18" ht="48" customHeight="1">
      <c r="B14" s="132" t="s">
        <v>184</v>
      </c>
      <c r="C14" s="132" t="s">
        <v>185</v>
      </c>
      <c r="D14" s="132" t="s">
        <v>186</v>
      </c>
    </row>
    <row r="15" spans="2:18">
      <c r="B15" s="128" t="s">
        <v>187</v>
      </c>
      <c r="C15" s="134">
        <v>0.82010000000000005</v>
      </c>
      <c r="D15" s="135">
        <v>5.5E-2</v>
      </c>
    </row>
    <row r="16" spans="2:18">
      <c r="B16" s="129" t="s">
        <v>188</v>
      </c>
      <c r="C16" s="134">
        <v>0.1164</v>
      </c>
      <c r="D16" s="135">
        <v>6.7199999999999996E-2</v>
      </c>
    </row>
    <row r="17" spans="2:4">
      <c r="B17" s="129" t="s">
        <v>189</v>
      </c>
      <c r="C17" s="134">
        <v>6.0199999999999997E-2</v>
      </c>
      <c r="D17" s="135">
        <v>7.2700000000000001E-2</v>
      </c>
    </row>
    <row r="18" spans="2:4">
      <c r="B18" s="129" t="s">
        <v>190</v>
      </c>
      <c r="C18" s="134">
        <v>3.3E-3</v>
      </c>
      <c r="D18" s="135">
        <v>9.4399999999999998E-2</v>
      </c>
    </row>
    <row r="19" spans="2:4">
      <c r="B19" s="130" t="s">
        <v>180</v>
      </c>
      <c r="C19" s="131" t="s">
        <v>191</v>
      </c>
      <c r="D19" s="133">
        <f>SUMPRODUCT(C15:C18,D15:D18)</f>
        <v>5.7615640000000003E-2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9915-677B-45DD-9DB0-563C84A887AA}">
  <dimension ref="B2:E25"/>
  <sheetViews>
    <sheetView workbookViewId="0">
      <selection activeCell="E33" sqref="E33"/>
    </sheetView>
  </sheetViews>
  <sheetFormatPr defaultRowHeight="14.5"/>
  <cols>
    <col min="2" max="2" width="19.6328125" customWidth="1"/>
    <col min="3" max="5" width="19.54296875" customWidth="1"/>
  </cols>
  <sheetData>
    <row r="2" spans="2:5">
      <c r="B2" t="s">
        <v>80</v>
      </c>
    </row>
    <row r="4" spans="2:5">
      <c r="B4" t="s">
        <v>81</v>
      </c>
      <c r="C4">
        <v>1.25</v>
      </c>
    </row>
    <row r="5" spans="2:5">
      <c r="B5" t="s">
        <v>82</v>
      </c>
      <c r="C5" s="1">
        <v>0.19439999999999999</v>
      </c>
    </row>
    <row r="6" spans="2:5">
      <c r="B6" t="s">
        <v>79</v>
      </c>
      <c r="C6" s="1">
        <v>0.36099999999999999</v>
      </c>
    </row>
    <row r="7" spans="2:5">
      <c r="B7" t="s">
        <v>83</v>
      </c>
      <c r="C7" s="26">
        <f>C4/(1+(1-C6)*C5)</f>
        <v>1.1118804335373025</v>
      </c>
    </row>
    <row r="9" spans="2:5" ht="15" thickBot="1"/>
    <row r="10" spans="2:5" ht="16" thickBot="1">
      <c r="B10" s="20" t="s">
        <v>75</v>
      </c>
      <c r="C10" s="21" t="s">
        <v>76</v>
      </c>
      <c r="D10" s="21" t="s">
        <v>77</v>
      </c>
      <c r="E10" s="21" t="s">
        <v>78</v>
      </c>
    </row>
    <row r="11" spans="2:5" ht="16" thickBot="1">
      <c r="B11" s="27">
        <v>0</v>
      </c>
      <c r="C11" s="28">
        <f>B11/(1-B11)</f>
        <v>0</v>
      </c>
      <c r="D11" s="29">
        <f>C7</f>
        <v>1.1118804335373025</v>
      </c>
      <c r="E11" s="30">
        <v>0</v>
      </c>
    </row>
    <row r="12" spans="2:5" ht="16" thickBot="1">
      <c r="B12" s="23">
        <v>0.1</v>
      </c>
      <c r="C12" s="24">
        <f t="shared" ref="C12:C20" si="0">B12/(1-B12)</f>
        <v>0.11111111111111112</v>
      </c>
      <c r="D12" s="25">
        <f t="shared" ref="D12:D20" si="1">(1+(1-$C$6)*C12)*$D$11</f>
        <v>1.190823944318451</v>
      </c>
      <c r="E12" s="25">
        <f>+D12-$D$11</f>
        <v>7.8943510781148474E-2</v>
      </c>
    </row>
    <row r="13" spans="2:5" ht="16" thickBot="1">
      <c r="B13" s="23">
        <v>0.2</v>
      </c>
      <c r="C13" s="24">
        <f>B13/(1-B13)</f>
        <v>0.25</v>
      </c>
      <c r="D13" s="25">
        <f t="shared" si="1"/>
        <v>1.2895033327948866</v>
      </c>
      <c r="E13" s="25">
        <f t="shared" ref="E13:E20" si="2">+D13-$D$11</f>
        <v>0.17762289925758412</v>
      </c>
    </row>
    <row r="14" spans="2:5" ht="16" thickBot="1">
      <c r="B14" s="23">
        <v>0.3</v>
      </c>
      <c r="C14" s="24">
        <f t="shared" si="0"/>
        <v>0.4285714285714286</v>
      </c>
      <c r="D14" s="25">
        <f t="shared" si="1"/>
        <v>1.4163768322645895</v>
      </c>
      <c r="E14" s="25">
        <f t="shared" si="2"/>
        <v>0.30449639872728707</v>
      </c>
    </row>
    <row r="15" spans="2:5" ht="16" thickBot="1">
      <c r="B15" s="23">
        <v>0.4</v>
      </c>
      <c r="C15" s="24">
        <f t="shared" si="0"/>
        <v>0.66666666666666674</v>
      </c>
      <c r="D15" s="25">
        <f t="shared" si="1"/>
        <v>1.5855414982241935</v>
      </c>
      <c r="E15" s="25">
        <f t="shared" si="2"/>
        <v>0.47366106468689106</v>
      </c>
    </row>
    <row r="16" spans="2:5" ht="16" thickBot="1">
      <c r="B16" s="23">
        <v>0.5</v>
      </c>
      <c r="C16" s="24">
        <f t="shared" si="0"/>
        <v>1</v>
      </c>
      <c r="D16" s="25">
        <f t="shared" si="1"/>
        <v>1.8223720305676387</v>
      </c>
      <c r="E16" s="25">
        <f t="shared" si="2"/>
        <v>0.71049159703033626</v>
      </c>
    </row>
    <row r="17" spans="2:5" ht="16" thickBot="1">
      <c r="B17" s="23">
        <v>0.6</v>
      </c>
      <c r="C17" s="24">
        <f t="shared" si="0"/>
        <v>1.4999999999999998</v>
      </c>
      <c r="D17" s="25">
        <f t="shared" si="1"/>
        <v>2.177617829082807</v>
      </c>
      <c r="E17" s="25">
        <f t="shared" si="2"/>
        <v>1.0657373955455045</v>
      </c>
    </row>
    <row r="18" spans="2:5" ht="16" thickBot="1">
      <c r="B18" s="23">
        <v>0.7</v>
      </c>
      <c r="C18" s="24">
        <f t="shared" si="0"/>
        <v>2.333333333333333</v>
      </c>
      <c r="D18" s="25">
        <f t="shared" si="1"/>
        <v>2.76969415994142</v>
      </c>
      <c r="E18" s="25">
        <f t="shared" si="2"/>
        <v>1.6578137264041175</v>
      </c>
    </row>
    <row r="19" spans="2:5" ht="16" thickBot="1">
      <c r="B19" s="23">
        <v>0.8</v>
      </c>
      <c r="C19" s="24">
        <f t="shared" si="0"/>
        <v>4.0000000000000009</v>
      </c>
      <c r="D19" s="25">
        <f t="shared" si="1"/>
        <v>3.9538468216586482</v>
      </c>
      <c r="E19" s="25">
        <f t="shared" si="2"/>
        <v>2.8419663881213459</v>
      </c>
    </row>
    <row r="20" spans="2:5" ht="16" thickBot="1">
      <c r="B20" s="23">
        <v>0.9</v>
      </c>
      <c r="C20" s="24">
        <f t="shared" si="0"/>
        <v>9.0000000000000018</v>
      </c>
      <c r="D20" s="25">
        <f t="shared" si="1"/>
        <v>7.5063048068103306</v>
      </c>
      <c r="E20" s="25">
        <f t="shared" si="2"/>
        <v>6.3944243732730284</v>
      </c>
    </row>
    <row r="25" spans="2:5">
      <c r="B2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CB5-0FF2-4500-9ACA-B0F22AC1CCC6}">
  <sheetPr>
    <tabColor rgb="FF002060"/>
  </sheetPr>
  <dimension ref="B1:BI51"/>
  <sheetViews>
    <sheetView tabSelected="1" workbookViewId="0">
      <selection activeCell="G23" sqref="G23"/>
    </sheetView>
  </sheetViews>
  <sheetFormatPr defaultRowHeight="14.5"/>
  <cols>
    <col min="2" max="2" width="24.6328125" customWidth="1"/>
    <col min="3" max="3" width="12.54296875" customWidth="1"/>
    <col min="4" max="4" width="12.08984375" customWidth="1"/>
    <col min="5" max="5" width="16.81640625" customWidth="1"/>
    <col min="6" max="7" width="14" customWidth="1"/>
    <col min="8" max="8" width="15.54296875" customWidth="1"/>
    <col min="9" max="9" width="10.26953125" customWidth="1"/>
    <col min="13" max="13" width="16.90625" customWidth="1"/>
    <col min="14" max="14" width="15.453125" customWidth="1"/>
    <col min="15" max="15" width="25.26953125" bestFit="1" customWidth="1"/>
    <col min="16" max="16" width="7.1796875" bestFit="1" customWidth="1"/>
    <col min="17" max="17" width="11.36328125" bestFit="1" customWidth="1"/>
    <col min="18" max="18" width="9.36328125" bestFit="1" customWidth="1"/>
    <col min="19" max="19" width="9.90625" bestFit="1" customWidth="1"/>
    <col min="20" max="20" width="8.08984375" bestFit="1" customWidth="1"/>
    <col min="21" max="21" width="8.6328125" bestFit="1" customWidth="1"/>
    <col min="22" max="22" width="9.90625" bestFit="1" customWidth="1"/>
    <col min="23" max="23" width="8" bestFit="1" customWidth="1"/>
    <col min="24" max="24" width="10.6328125" customWidth="1"/>
    <col min="25" max="25" width="10.453125" customWidth="1"/>
    <col min="26" max="26" width="8.453125" bestFit="1" customWidth="1"/>
    <col min="27" max="27" width="12" customWidth="1"/>
    <col min="32" max="32" width="16.453125" bestFit="1" customWidth="1"/>
    <col min="35" max="40" width="20.7265625" bestFit="1" customWidth="1"/>
    <col min="41" max="41" width="17.08984375" bestFit="1" customWidth="1"/>
    <col min="42" max="42" width="14.81640625" bestFit="1" customWidth="1"/>
    <col min="43" max="43" width="14.26953125" bestFit="1" customWidth="1"/>
    <col min="44" max="45" width="17.08984375" bestFit="1" customWidth="1"/>
    <col min="46" max="46" width="16.453125" bestFit="1" customWidth="1"/>
    <col min="47" max="47" width="14.26953125" bestFit="1" customWidth="1"/>
    <col min="48" max="48" width="17.08984375" bestFit="1" customWidth="1"/>
    <col min="49" max="50" width="15.81640625" bestFit="1" customWidth="1"/>
    <col min="51" max="52" width="13.453125" bestFit="1" customWidth="1"/>
    <col min="53" max="56" width="17.08984375" bestFit="1" customWidth="1"/>
    <col min="57" max="57" width="15.90625" bestFit="1" customWidth="1"/>
    <col min="58" max="61" width="18" bestFit="1" customWidth="1"/>
  </cols>
  <sheetData>
    <row r="1" spans="2:61">
      <c r="M1" t="s">
        <v>97</v>
      </c>
    </row>
    <row r="2" spans="2:61">
      <c r="M2" s="60" t="s">
        <v>143</v>
      </c>
    </row>
    <row r="3" spans="2:61" ht="58">
      <c r="B3" s="4" t="s">
        <v>84</v>
      </c>
      <c r="C3" s="31" t="s">
        <v>85</v>
      </c>
      <c r="D3" s="31" t="s">
        <v>94</v>
      </c>
      <c r="E3" s="31" t="s">
        <v>86</v>
      </c>
      <c r="F3" s="31" t="s">
        <v>87</v>
      </c>
      <c r="G3" s="31" t="s">
        <v>95</v>
      </c>
      <c r="H3" s="31" t="s">
        <v>89</v>
      </c>
      <c r="I3" s="31" t="s">
        <v>96</v>
      </c>
      <c r="M3" s="33" t="s">
        <v>99</v>
      </c>
      <c r="N3" s="33" t="s">
        <v>100</v>
      </c>
      <c r="O3" s="39" t="s">
        <v>98</v>
      </c>
      <c r="P3" s="34" t="s">
        <v>101</v>
      </c>
      <c r="Q3" s="62" t="s">
        <v>150</v>
      </c>
      <c r="R3" s="35" t="s">
        <v>107</v>
      </c>
      <c r="S3" s="35" t="s">
        <v>102</v>
      </c>
      <c r="T3" s="62" t="s">
        <v>149</v>
      </c>
      <c r="U3" s="36" t="s">
        <v>104</v>
      </c>
      <c r="V3" s="35" t="s">
        <v>103</v>
      </c>
      <c r="W3" s="35" t="s">
        <v>108</v>
      </c>
      <c r="X3" s="38" t="s">
        <v>109</v>
      </c>
      <c r="Y3" s="39" t="s">
        <v>110</v>
      </c>
      <c r="Z3" s="39" t="s">
        <v>111</v>
      </c>
      <c r="AA3" s="37" t="s">
        <v>113</v>
      </c>
      <c r="AD3" s="37" t="s">
        <v>105</v>
      </c>
      <c r="AE3" s="37" t="s">
        <v>112</v>
      </c>
      <c r="AF3" s="40" t="s">
        <v>114</v>
      </c>
      <c r="AH3" s="80" t="s">
        <v>106</v>
      </c>
      <c r="AI3" s="40" t="s">
        <v>115</v>
      </c>
      <c r="AJ3" s="40" t="s">
        <v>116</v>
      </c>
      <c r="AK3" s="40" t="s">
        <v>117</v>
      </c>
      <c r="AL3" s="40" t="s">
        <v>118</v>
      </c>
      <c r="AM3" s="40" t="s">
        <v>119</v>
      </c>
      <c r="AN3" s="40" t="s">
        <v>120</v>
      </c>
      <c r="AO3" s="40" t="s">
        <v>121</v>
      </c>
      <c r="AP3" s="40" t="s">
        <v>122</v>
      </c>
      <c r="AQ3" s="40" t="s">
        <v>123</v>
      </c>
      <c r="AR3" s="40" t="s">
        <v>124</v>
      </c>
      <c r="AS3" s="40" t="s">
        <v>125</v>
      </c>
      <c r="AT3" s="40" t="s">
        <v>126</v>
      </c>
      <c r="AU3" s="40" t="s">
        <v>127</v>
      </c>
      <c r="AV3" s="40" t="s">
        <v>128</v>
      </c>
      <c r="AW3" s="40" t="s">
        <v>129</v>
      </c>
      <c r="AX3" s="40" t="s">
        <v>130</v>
      </c>
      <c r="AY3" s="40" t="s">
        <v>131</v>
      </c>
      <c r="AZ3" s="40" t="s">
        <v>132</v>
      </c>
      <c r="BA3" s="40" t="s">
        <v>133</v>
      </c>
      <c r="BB3" s="40" t="s">
        <v>134</v>
      </c>
      <c r="BC3" s="40" t="s">
        <v>135</v>
      </c>
      <c r="BD3" s="40" t="s">
        <v>136</v>
      </c>
      <c r="BE3" s="40" t="s">
        <v>137</v>
      </c>
      <c r="BF3" s="40" t="s">
        <v>138</v>
      </c>
      <c r="BG3" s="40" t="s">
        <v>139</v>
      </c>
      <c r="BH3" s="40" t="s">
        <v>140</v>
      </c>
      <c r="BI3" s="40" t="s">
        <v>141</v>
      </c>
    </row>
    <row r="4" spans="2:61">
      <c r="B4" s="3" t="s">
        <v>90</v>
      </c>
      <c r="C4" s="32">
        <v>20356</v>
      </c>
      <c r="D4" s="32">
        <v>6818</v>
      </c>
      <c r="E4" s="32">
        <v>251</v>
      </c>
      <c r="F4" s="32">
        <v>7069</v>
      </c>
      <c r="G4" s="32">
        <v>2768</v>
      </c>
      <c r="H4" s="32">
        <v>263</v>
      </c>
      <c r="I4" s="32">
        <v>28627</v>
      </c>
      <c r="M4" s="41" t="s">
        <v>142</v>
      </c>
      <c r="N4" s="41" t="s">
        <v>144</v>
      </c>
      <c r="O4" s="63" t="s">
        <v>157</v>
      </c>
      <c r="P4" s="64">
        <f>AW4</f>
        <v>1.1200000000000001</v>
      </c>
      <c r="Q4" s="81">
        <v>738.8</v>
      </c>
      <c r="R4" s="66">
        <f t="shared" ref="R4:R13" si="0">AH4+AF4</f>
        <v>98.891980109023592</v>
      </c>
      <c r="S4" s="66">
        <f>+Q4+R4</f>
        <v>837.69198010902358</v>
      </c>
      <c r="T4" s="65">
        <v>143.6</v>
      </c>
      <c r="U4" s="67">
        <f t="shared" ref="U4:U13" si="1">T4/S4</f>
        <v>0.17142339118647262</v>
      </c>
      <c r="V4" s="66">
        <f>S4-T4</f>
        <v>694.09198010902355</v>
      </c>
      <c r="W4" s="68">
        <f>VLOOKUP(N4,'[1]Marg tax rate by country'!$A$2:$B$131,2)</f>
        <v>0.4</v>
      </c>
      <c r="X4" s="68">
        <f>R4/Q4</f>
        <v>0.1338548729142171</v>
      </c>
      <c r="Y4" s="64">
        <f t="shared" ref="Y4:Y13" si="2">P4/(1+(1-W4)*X4)</f>
        <v>1.0367366485941512</v>
      </c>
      <c r="Z4" s="64">
        <f t="shared" ref="Z4:Z13" si="3">Y4/(1-U4)</f>
        <v>1.2512260635485435</v>
      </c>
      <c r="AA4" s="69">
        <f t="shared" ref="AA4:AA11" si="4">V4/AQ4</f>
        <v>11.195031937242316</v>
      </c>
      <c r="AD4" s="42">
        <f t="shared" ref="AD4:AD13" si="5">IF(AE4&gt;0.03,IF(AE4&gt;0.1,0.1,AE4),0.03)</f>
        <v>8.4567901234567908E-2</v>
      </c>
      <c r="AE4" s="42">
        <f t="shared" ref="AE4:AE13" si="6">IF(AF4&gt;0,-AU4/AF4,0.04)</f>
        <v>8.4567901234567908E-2</v>
      </c>
      <c r="AF4" s="43">
        <v>97.2</v>
      </c>
      <c r="AH4" s="66">
        <f t="shared" ref="AH4:AH13" si="7">AI4/(1+AD4)^1+AJ4/(1+AD4)^2+AK4/(1+AD4)^3+AL4/(1+AD4)^4+AM4/(1+AD4)^5+AN4/(1+AD4)^7.5</f>
        <v>1.6919801090235953</v>
      </c>
      <c r="AI4" s="44">
        <v>0.80300000000000005</v>
      </c>
      <c r="AJ4" s="44">
        <v>0.90800000000000003</v>
      </c>
      <c r="AK4" s="44">
        <v>0.22</v>
      </c>
      <c r="AL4" s="44">
        <v>0.01</v>
      </c>
      <c r="AM4" s="45">
        <v>0</v>
      </c>
      <c r="AN4" s="45">
        <v>0</v>
      </c>
      <c r="AO4" s="45">
        <v>0</v>
      </c>
      <c r="AP4" s="46" t="s">
        <v>145</v>
      </c>
      <c r="AQ4" s="43">
        <v>62</v>
      </c>
      <c r="AR4" s="43">
        <v>-39.200000000000003</v>
      </c>
      <c r="AS4" s="43">
        <v>-47.4</v>
      </c>
      <c r="AT4" s="47">
        <v>1.73</v>
      </c>
      <c r="AU4" s="47">
        <v>-8.2200000000000006</v>
      </c>
      <c r="AV4" s="44">
        <v>0.57299999999999995</v>
      </c>
      <c r="AW4" s="48">
        <v>1.1200000000000001</v>
      </c>
      <c r="AX4" s="46"/>
      <c r="AY4" s="44">
        <v>0.42699999999999999</v>
      </c>
      <c r="AZ4" s="46"/>
      <c r="BA4" s="46"/>
      <c r="BB4" s="46"/>
      <c r="BC4" s="45">
        <v>0</v>
      </c>
      <c r="BD4" s="45">
        <v>0</v>
      </c>
      <c r="BE4" s="43">
        <v>12.3</v>
      </c>
      <c r="BF4" s="46"/>
      <c r="BG4" s="46"/>
      <c r="BH4" s="46"/>
      <c r="BI4" s="46"/>
    </row>
    <row r="5" spans="2:61">
      <c r="B5" s="3" t="s">
        <v>91</v>
      </c>
      <c r="C5" s="32">
        <v>14087</v>
      </c>
      <c r="D5" s="32">
        <v>2220</v>
      </c>
      <c r="E5" s="32">
        <v>1370</v>
      </c>
      <c r="F5" s="32">
        <v>3590</v>
      </c>
      <c r="G5" s="32">
        <v>1960</v>
      </c>
      <c r="H5" s="32">
        <v>2110</v>
      </c>
      <c r="I5" s="32">
        <v>22056</v>
      </c>
      <c r="M5" s="41" t="s">
        <v>142</v>
      </c>
      <c r="N5" s="41" t="s">
        <v>144</v>
      </c>
      <c r="O5" s="63" t="s">
        <v>160</v>
      </c>
      <c r="P5" s="64">
        <f t="shared" ref="P5:P13" si="8">AW5</f>
        <v>1.19</v>
      </c>
      <c r="Q5" s="82">
        <v>0.23699999999999999</v>
      </c>
      <c r="R5" s="66">
        <f t="shared" si="0"/>
        <v>1.1327272727272726</v>
      </c>
      <c r="S5" s="66">
        <f>+Q5+R5</f>
        <v>1.3697272727272725</v>
      </c>
      <c r="T5" s="71">
        <v>0</v>
      </c>
      <c r="U5" s="67">
        <f t="shared" si="1"/>
        <v>0</v>
      </c>
      <c r="V5" s="66">
        <f t="shared" ref="V5:V13" si="9">S5-T5</f>
        <v>1.3697272727272725</v>
      </c>
      <c r="W5" s="68">
        <f>VLOOKUP(N5,'[1]Marg tax rate by country'!$A$2:$B$131,2)</f>
        <v>0.4</v>
      </c>
      <c r="X5" s="68">
        <f t="shared" ref="X5:X13" si="10">R5/Q5</f>
        <v>4.7794399693133869</v>
      </c>
      <c r="Y5" s="64">
        <f t="shared" si="2"/>
        <v>0.30767926212436775</v>
      </c>
      <c r="Z5" s="64">
        <f t="shared" si="3"/>
        <v>0.30767926212436775</v>
      </c>
      <c r="AA5" s="69">
        <f t="shared" si="4"/>
        <v>12.452066115702477</v>
      </c>
      <c r="AD5" s="42">
        <f t="shared" si="5"/>
        <v>0.1</v>
      </c>
      <c r="AE5" s="42">
        <f t="shared" si="6"/>
        <v>0.27256637168141595</v>
      </c>
      <c r="AF5" s="47">
        <v>1.1299999999999999</v>
      </c>
      <c r="AH5" s="66">
        <f t="shared" si="7"/>
        <v>2.7272727272727271E-3</v>
      </c>
      <c r="AI5" s="44">
        <v>3.0000000000000001E-3</v>
      </c>
      <c r="AJ5" s="45">
        <v>0</v>
      </c>
      <c r="AK5" s="45">
        <v>0</v>
      </c>
      <c r="AL5" s="45">
        <v>0</v>
      </c>
      <c r="AM5" s="45">
        <v>0</v>
      </c>
      <c r="AN5" s="45">
        <v>0</v>
      </c>
      <c r="AO5" s="45">
        <v>0</v>
      </c>
      <c r="AP5" s="45">
        <v>0</v>
      </c>
      <c r="AQ5" s="45">
        <v>0.11</v>
      </c>
      <c r="AR5" s="45">
        <v>0</v>
      </c>
      <c r="AS5" s="44">
        <v>-0.90600000000000003</v>
      </c>
      <c r="AT5" s="45">
        <v>0</v>
      </c>
      <c r="AU5" s="44">
        <v>-0.308</v>
      </c>
      <c r="AV5" s="45">
        <v>0</v>
      </c>
      <c r="AW5" s="48">
        <v>1.19</v>
      </c>
      <c r="AX5" s="44">
        <v>-0.39200000000000002</v>
      </c>
      <c r="AY5" s="45">
        <v>0</v>
      </c>
      <c r="AZ5" s="45">
        <v>0</v>
      </c>
      <c r="BA5" s="44">
        <v>7.6999999999999999E-2</v>
      </c>
      <c r="BB5" s="44">
        <v>0.30499999999999999</v>
      </c>
      <c r="BC5" s="44">
        <v>0.51300000000000001</v>
      </c>
      <c r="BD5" s="44">
        <v>0.73899999999999999</v>
      </c>
      <c r="BE5" s="44">
        <v>0.88800000000000001</v>
      </c>
      <c r="BF5" s="47">
        <v>9.3800000000000008</v>
      </c>
      <c r="BG5" s="47">
        <v>3.15</v>
      </c>
      <c r="BH5" s="44">
        <v>0.30299999999999999</v>
      </c>
      <c r="BI5" s="44">
        <v>0.157</v>
      </c>
    </row>
    <row r="6" spans="2:61">
      <c r="B6" s="58" t="s">
        <v>92</v>
      </c>
      <c r="C6" s="59">
        <v>5979</v>
      </c>
      <c r="D6" s="59">
        <v>661</v>
      </c>
      <c r="E6" s="59">
        <v>161</v>
      </c>
      <c r="F6" s="59">
        <v>822</v>
      </c>
      <c r="G6" s="59">
        <v>2145</v>
      </c>
      <c r="H6" s="59">
        <v>78</v>
      </c>
      <c r="I6" s="59">
        <v>14750</v>
      </c>
      <c r="M6" s="41" t="s">
        <v>142</v>
      </c>
      <c r="N6" s="41" t="s">
        <v>144</v>
      </c>
      <c r="O6" s="63" t="s">
        <v>155</v>
      </c>
      <c r="P6" s="64">
        <f t="shared" si="8"/>
        <v>0.93</v>
      </c>
      <c r="Q6" s="83">
        <v>3.21</v>
      </c>
      <c r="R6" s="66">
        <f t="shared" si="0"/>
        <v>3.18</v>
      </c>
      <c r="S6" s="66">
        <f>+Q6+R6</f>
        <v>6.3900000000000006</v>
      </c>
      <c r="T6" s="70">
        <v>5.1999999999999998E-2</v>
      </c>
      <c r="U6" s="67">
        <f t="shared" si="1"/>
        <v>8.1377151799686999E-3</v>
      </c>
      <c r="V6" s="66">
        <f t="shared" si="9"/>
        <v>6.338000000000001</v>
      </c>
      <c r="W6" s="68">
        <f>VLOOKUP(N6,'[1]Marg tax rate by country'!$A$2:$B$131,2)</f>
        <v>0.4</v>
      </c>
      <c r="X6" s="68">
        <f t="shared" si="10"/>
        <v>0.99065420560747675</v>
      </c>
      <c r="Y6" s="64">
        <f t="shared" si="2"/>
        <v>0.5832942555685815</v>
      </c>
      <c r="Z6" s="64">
        <f t="shared" si="3"/>
        <v>0.58807988215260898</v>
      </c>
      <c r="AA6" s="69">
        <f t="shared" si="4"/>
        <v>1.2141762452107283</v>
      </c>
      <c r="AD6" s="42">
        <f t="shared" si="5"/>
        <v>4.8427672955974839E-2</v>
      </c>
      <c r="AE6" s="42">
        <f t="shared" si="6"/>
        <v>4.8427672955974839E-2</v>
      </c>
      <c r="AF6" s="47">
        <v>3.18</v>
      </c>
      <c r="AH6" s="66">
        <f t="shared" si="7"/>
        <v>0</v>
      </c>
      <c r="AI6" s="45">
        <v>0</v>
      </c>
      <c r="AJ6" s="45">
        <v>0</v>
      </c>
      <c r="AK6" s="45">
        <v>0</v>
      </c>
      <c r="AL6" s="45">
        <v>0</v>
      </c>
      <c r="AM6" s="45">
        <v>0</v>
      </c>
      <c r="AN6" s="45">
        <v>0</v>
      </c>
      <c r="AO6" s="45">
        <v>0</v>
      </c>
      <c r="AP6" s="43">
        <v>27.1</v>
      </c>
      <c r="AQ6" s="47">
        <v>5.22</v>
      </c>
      <c r="AR6" s="45">
        <v>0</v>
      </c>
      <c r="AS6" s="44">
        <v>0.64</v>
      </c>
      <c r="AT6" s="44">
        <v>0.188</v>
      </c>
      <c r="AU6" s="44">
        <v>-0.154</v>
      </c>
      <c r="AV6" s="44">
        <v>2E-3</v>
      </c>
      <c r="AW6" s="48">
        <v>0.93</v>
      </c>
      <c r="AX6" s="47">
        <v>-2.38</v>
      </c>
      <c r="AY6" s="45">
        <v>0</v>
      </c>
      <c r="AZ6" s="44">
        <v>5.0000000000000001E-3</v>
      </c>
      <c r="BA6" s="45">
        <v>0</v>
      </c>
      <c r="BB6" s="45">
        <v>0</v>
      </c>
      <c r="BC6" s="45">
        <v>0</v>
      </c>
      <c r="BD6" s="44">
        <v>4.9000000000000002E-2</v>
      </c>
      <c r="BE6" s="47">
        <v>6.53</v>
      </c>
      <c r="BF6" s="46"/>
      <c r="BG6" s="46"/>
      <c r="BH6" s="46"/>
      <c r="BI6" s="46"/>
    </row>
    <row r="7" spans="2:61">
      <c r="B7" s="3" t="s">
        <v>93</v>
      </c>
      <c r="C7" s="32">
        <v>3555</v>
      </c>
      <c r="D7" s="32">
        <v>1112</v>
      </c>
      <c r="E7" s="32">
        <v>146</v>
      </c>
      <c r="F7" s="32">
        <v>1258</v>
      </c>
      <c r="G7" s="32">
        <v>731</v>
      </c>
      <c r="H7" s="32">
        <v>45</v>
      </c>
      <c r="I7" s="32">
        <v>7506</v>
      </c>
      <c r="M7" s="41" t="s">
        <v>142</v>
      </c>
      <c r="N7" s="41" t="s">
        <v>144</v>
      </c>
      <c r="O7" s="63" t="s">
        <v>156</v>
      </c>
      <c r="P7" s="64">
        <f t="shared" si="8"/>
        <v>0.94</v>
      </c>
      <c r="Q7" s="83">
        <v>3.97</v>
      </c>
      <c r="R7" s="66">
        <f t="shared" si="0"/>
        <v>0.34355485846083816</v>
      </c>
      <c r="S7" s="66">
        <f t="shared" ref="S7:S13" si="11">+Q7+R7</f>
        <v>4.3135548584608383</v>
      </c>
      <c r="T7" s="70">
        <v>0.42499999999999999</v>
      </c>
      <c r="U7" s="67">
        <f t="shared" si="1"/>
        <v>9.8526624546429992E-2</v>
      </c>
      <c r="V7" s="66">
        <f t="shared" si="9"/>
        <v>3.8885548584608385</v>
      </c>
      <c r="W7" s="68">
        <f>VLOOKUP(N7,'[1]Marg tax rate by country'!$A$2:$B$131,2)</f>
        <v>0.4</v>
      </c>
      <c r="X7" s="68">
        <f t="shared" si="10"/>
        <v>8.6537747723133038E-2</v>
      </c>
      <c r="Y7" s="64">
        <f t="shared" si="2"/>
        <v>0.89360182635174512</v>
      </c>
      <c r="Z7" s="64">
        <f t="shared" si="3"/>
        <v>0.99126812913596662</v>
      </c>
      <c r="AA7" s="69">
        <f t="shared" si="4"/>
        <v>1.9155442652516448</v>
      </c>
      <c r="AD7" s="42">
        <f t="shared" si="5"/>
        <v>0.04</v>
      </c>
      <c r="AE7" s="42">
        <f t="shared" si="6"/>
        <v>0.04</v>
      </c>
      <c r="AF7" s="45">
        <v>0</v>
      </c>
      <c r="AH7" s="66">
        <f t="shared" si="7"/>
        <v>0.34355485846083816</v>
      </c>
      <c r="AI7" s="44">
        <v>0.10299999999999999</v>
      </c>
      <c r="AJ7" s="44">
        <v>0.106</v>
      </c>
      <c r="AK7" s="44">
        <v>0.11</v>
      </c>
      <c r="AL7" s="44">
        <v>5.7000000000000002E-2</v>
      </c>
      <c r="AM7" s="45">
        <v>0</v>
      </c>
      <c r="AN7" s="45">
        <v>0</v>
      </c>
      <c r="AO7" s="45">
        <v>0</v>
      </c>
      <c r="AP7" s="46" t="s">
        <v>145</v>
      </c>
      <c r="AQ7" s="47">
        <v>2.0299999999999998</v>
      </c>
      <c r="AR7" s="44">
        <v>-0.56899999999999995</v>
      </c>
      <c r="AS7" s="44">
        <v>-0.57799999999999996</v>
      </c>
      <c r="AT7" s="44">
        <v>3.4000000000000002E-2</v>
      </c>
      <c r="AU7" s="45">
        <v>0</v>
      </c>
      <c r="AV7" s="44">
        <v>8.0000000000000002E-3</v>
      </c>
      <c r="AW7" s="48">
        <v>0.94</v>
      </c>
      <c r="AX7" s="44">
        <v>0.316</v>
      </c>
      <c r="AY7" s="44">
        <v>1E-3</v>
      </c>
      <c r="AZ7" s="44">
        <v>2E-3</v>
      </c>
      <c r="BA7" s="44">
        <v>0.80500000000000005</v>
      </c>
      <c r="BB7" s="44">
        <v>0.85</v>
      </c>
      <c r="BC7" s="45">
        <v>0</v>
      </c>
      <c r="BD7" s="45">
        <v>0</v>
      </c>
      <c r="BE7" s="45">
        <v>0</v>
      </c>
      <c r="BF7" s="47">
        <v>6.33</v>
      </c>
      <c r="BG7" s="43">
        <v>31.7</v>
      </c>
      <c r="BH7" s="43">
        <v>17.2</v>
      </c>
      <c r="BI7" s="47">
        <v>5.32</v>
      </c>
    </row>
    <row r="8" spans="2:61">
      <c r="B8" s="3" t="s">
        <v>88</v>
      </c>
      <c r="C8" s="32">
        <v>1064</v>
      </c>
      <c r="D8" s="32">
        <v>-87</v>
      </c>
      <c r="E8" s="32">
        <v>44</v>
      </c>
      <c r="F8" s="32">
        <v>-43</v>
      </c>
      <c r="G8" s="32">
        <v>449</v>
      </c>
      <c r="H8" s="32">
        <v>13</v>
      </c>
      <c r="I8" s="32">
        <v>2311</v>
      </c>
      <c r="M8" s="41" t="s">
        <v>142</v>
      </c>
      <c r="N8" s="41" t="s">
        <v>144</v>
      </c>
      <c r="O8" s="63" t="s">
        <v>154</v>
      </c>
      <c r="P8" s="64">
        <f t="shared" si="8"/>
        <v>1.29</v>
      </c>
      <c r="Q8" s="81">
        <v>3631.7</v>
      </c>
      <c r="R8" s="66">
        <f t="shared" si="0"/>
        <v>142.16264029836759</v>
      </c>
      <c r="S8" s="66">
        <f t="shared" si="11"/>
        <v>3773.8626402983673</v>
      </c>
      <c r="T8" s="65">
        <v>140.69999999999999</v>
      </c>
      <c r="U8" s="67">
        <f t="shared" si="1"/>
        <v>3.7282756001123567E-2</v>
      </c>
      <c r="V8" s="66">
        <f t="shared" si="9"/>
        <v>3633.1626402983675</v>
      </c>
      <c r="W8" s="68">
        <f>VLOOKUP(N8,'[1]Marg tax rate by country'!$A$2:$B$131,2)</f>
        <v>0.4</v>
      </c>
      <c r="X8" s="68">
        <f t="shared" si="10"/>
        <v>3.9144929454075945E-2</v>
      </c>
      <c r="Y8" s="64">
        <f t="shared" si="2"/>
        <v>1.2603971065089516</v>
      </c>
      <c r="Z8" s="64">
        <f t="shared" si="3"/>
        <v>1.309207988498877</v>
      </c>
      <c r="AA8" s="69">
        <f t="shared" si="4"/>
        <v>1.9196674629073063</v>
      </c>
      <c r="AD8" s="42">
        <f t="shared" si="5"/>
        <v>0.1</v>
      </c>
      <c r="AE8" s="42">
        <f t="shared" si="6"/>
        <v>0.1670103092783505</v>
      </c>
      <c r="AF8" s="43">
        <v>97</v>
      </c>
      <c r="AH8" s="66">
        <f t="shared" si="7"/>
        <v>45.162640298367606</v>
      </c>
      <c r="AI8" s="47">
        <v>6.35</v>
      </c>
      <c r="AJ8" s="47">
        <v>6.51</v>
      </c>
      <c r="AK8" s="47">
        <v>7.16</v>
      </c>
      <c r="AL8" s="47">
        <v>6.68</v>
      </c>
      <c r="AM8" s="47">
        <v>8.0299999999999994</v>
      </c>
      <c r="AN8" s="43">
        <v>39</v>
      </c>
      <c r="AO8" s="45">
        <v>0</v>
      </c>
      <c r="AP8" s="43">
        <v>42.6</v>
      </c>
      <c r="AQ8" s="43">
        <v>1892.6</v>
      </c>
      <c r="AR8" s="43">
        <v>245.2</v>
      </c>
      <c r="AS8" s="43">
        <v>231.3</v>
      </c>
      <c r="AT8" s="47">
        <v>1.82</v>
      </c>
      <c r="AU8" s="43">
        <v>-16.2</v>
      </c>
      <c r="AV8" s="47">
        <v>2.85</v>
      </c>
      <c r="AW8" s="48">
        <v>1.29</v>
      </c>
      <c r="AX8" s="47">
        <v>-1.52</v>
      </c>
      <c r="AY8" s="44">
        <v>3.0000000000000001E-3</v>
      </c>
      <c r="AZ8" s="44">
        <v>0.126</v>
      </c>
      <c r="BA8" s="46"/>
      <c r="BB8" s="46"/>
      <c r="BC8" s="46"/>
      <c r="BD8" s="43">
        <v>307.89999999999998</v>
      </c>
      <c r="BE8" s="43">
        <v>371</v>
      </c>
      <c r="BF8" s="46"/>
      <c r="BG8" s="46"/>
      <c r="BH8" s="46"/>
      <c r="BI8" s="46"/>
    </row>
    <row r="9" spans="2:61">
      <c r="M9" s="41" t="s">
        <v>142</v>
      </c>
      <c r="N9" s="41" t="s">
        <v>144</v>
      </c>
      <c r="O9" s="63" t="s">
        <v>153</v>
      </c>
      <c r="P9" s="64">
        <f t="shared" si="8"/>
        <v>1.2</v>
      </c>
      <c r="Q9" s="81">
        <v>4719.6000000000004</v>
      </c>
      <c r="R9" s="66">
        <f t="shared" si="0"/>
        <v>1283.203094206101</v>
      </c>
      <c r="S9" s="66">
        <f t="shared" si="11"/>
        <v>6002.8030942061014</v>
      </c>
      <c r="T9" s="65">
        <v>67.2</v>
      </c>
      <c r="U9" s="67">
        <f t="shared" si="1"/>
        <v>1.1194770000845332E-2</v>
      </c>
      <c r="V9" s="66">
        <f t="shared" si="9"/>
        <v>5935.6030942061016</v>
      </c>
      <c r="W9" s="68">
        <f>VLOOKUP(N9,'[1]Marg tax rate by country'!$A$2:$B$131,2)</f>
        <v>0.4</v>
      </c>
      <c r="X9" s="68">
        <f t="shared" si="10"/>
        <v>0.27188810369652111</v>
      </c>
      <c r="Y9" s="64">
        <f t="shared" si="2"/>
        <v>1.0316964114587799</v>
      </c>
      <c r="Z9" s="64">
        <f t="shared" si="3"/>
        <v>1.0433767744732316</v>
      </c>
      <c r="AA9" s="69">
        <f t="shared" si="4"/>
        <v>2.2848576080553165</v>
      </c>
      <c r="AD9" s="42">
        <f t="shared" si="5"/>
        <v>6.3373570520965691E-2</v>
      </c>
      <c r="AE9" s="42">
        <f t="shared" si="6"/>
        <v>6.3373570520965691E-2</v>
      </c>
      <c r="AF9" s="43">
        <v>1259.2</v>
      </c>
      <c r="AH9" s="66">
        <f t="shared" si="7"/>
        <v>24.003094206100876</v>
      </c>
      <c r="AI9" s="43">
        <v>10.7</v>
      </c>
      <c r="AJ9" s="47">
        <v>9.16</v>
      </c>
      <c r="AK9" s="47">
        <v>4.3099999999999996</v>
      </c>
      <c r="AL9" s="44">
        <v>0.752</v>
      </c>
      <c r="AM9" s="44">
        <v>0.77500000000000002</v>
      </c>
      <c r="AN9" s="47">
        <v>1.74</v>
      </c>
      <c r="AO9" s="45">
        <v>0</v>
      </c>
      <c r="AP9" s="45">
        <v>0</v>
      </c>
      <c r="AQ9" s="43">
        <v>2597.8000000000002</v>
      </c>
      <c r="AR9" s="43">
        <v>246.4</v>
      </c>
      <c r="AS9" s="43">
        <v>239.1</v>
      </c>
      <c r="AT9" s="47">
        <v>5</v>
      </c>
      <c r="AU9" s="43">
        <v>-79.8</v>
      </c>
      <c r="AV9" s="47">
        <v>2.89</v>
      </c>
      <c r="AW9" s="48">
        <v>1.2</v>
      </c>
      <c r="AX9" s="44">
        <v>0.61599999999999999</v>
      </c>
      <c r="AY9" s="44">
        <v>7.5999999999999998E-2</v>
      </c>
      <c r="AZ9" s="44">
        <v>7.6999999999999999E-2</v>
      </c>
      <c r="BA9" s="43">
        <v>752.2</v>
      </c>
      <c r="BB9" s="43">
        <v>745.7</v>
      </c>
      <c r="BC9" s="43">
        <v>674.8</v>
      </c>
      <c r="BD9" s="43">
        <v>1579.5</v>
      </c>
      <c r="BE9" s="43">
        <v>1327.3</v>
      </c>
      <c r="BF9" s="43">
        <v>615.4</v>
      </c>
      <c r="BG9" s="43">
        <v>993.1</v>
      </c>
      <c r="BH9" s="43">
        <v>1171.0999999999999</v>
      </c>
      <c r="BI9" s="43">
        <v>2270.1999999999998</v>
      </c>
    </row>
    <row r="10" spans="2:61">
      <c r="B10" s="110" t="s">
        <v>175</v>
      </c>
      <c r="C10" s="126" t="e">
        <f>#REF!</f>
        <v>#REF!</v>
      </c>
      <c r="D10" s="127"/>
      <c r="E10" s="110" t="s">
        <v>181</v>
      </c>
      <c r="F10" s="125">
        <v>0.36099999999999999</v>
      </c>
      <c r="H10" s="110" t="s">
        <v>192</v>
      </c>
      <c r="I10" s="125">
        <f>'Country premia'!C3</f>
        <v>2.75E-2</v>
      </c>
      <c r="M10" s="41" t="s">
        <v>142</v>
      </c>
      <c r="N10" s="41" t="s">
        <v>144</v>
      </c>
      <c r="O10" s="63" t="s">
        <v>152</v>
      </c>
      <c r="P10" s="64">
        <f t="shared" si="8"/>
        <v>1.32</v>
      </c>
      <c r="Q10" s="81">
        <v>2730</v>
      </c>
      <c r="R10" s="66">
        <f t="shared" si="0"/>
        <v>348.30043780972613</v>
      </c>
      <c r="S10" s="66">
        <f t="shared" si="11"/>
        <v>3078.3004378097262</v>
      </c>
      <c r="T10" s="65">
        <v>156.4</v>
      </c>
      <c r="U10" s="67">
        <f t="shared" si="1"/>
        <v>5.0807256523434666E-2</v>
      </c>
      <c r="V10" s="66">
        <f t="shared" si="9"/>
        <v>2921.9004378097261</v>
      </c>
      <c r="W10" s="68">
        <f>VLOOKUP(N10,'[1]Marg tax rate by country'!$A$2:$B$131,2)</f>
        <v>0.4</v>
      </c>
      <c r="X10" s="68">
        <f t="shared" si="10"/>
        <v>0.12758257795228065</v>
      </c>
      <c r="Y10" s="64">
        <f t="shared" si="2"/>
        <v>1.226139571521583</v>
      </c>
      <c r="Z10" s="64">
        <f t="shared" si="3"/>
        <v>1.2917709073824744</v>
      </c>
      <c r="AA10" s="69">
        <f t="shared" si="4"/>
        <v>3.8080287212429642</v>
      </c>
      <c r="AD10" s="42">
        <f t="shared" si="5"/>
        <v>0.03</v>
      </c>
      <c r="AE10" s="42">
        <f t="shared" si="6"/>
        <v>2.3733333333333332E-3</v>
      </c>
      <c r="AF10" s="43">
        <v>300</v>
      </c>
      <c r="AH10" s="66">
        <f t="shared" si="7"/>
        <v>48.300437809726134</v>
      </c>
      <c r="AI10" s="47">
        <v>3.2</v>
      </c>
      <c r="AJ10" s="47">
        <v>6.74</v>
      </c>
      <c r="AK10" s="47">
        <v>6.61</v>
      </c>
      <c r="AL10" s="47">
        <v>6.54</v>
      </c>
      <c r="AM10" s="47">
        <v>6.48</v>
      </c>
      <c r="AN10" s="43">
        <v>26.7</v>
      </c>
      <c r="AO10" s="45">
        <v>0</v>
      </c>
      <c r="AP10" s="46" t="s">
        <v>145</v>
      </c>
      <c r="AQ10" s="43">
        <v>767.3</v>
      </c>
      <c r="AR10" s="43">
        <v>112.4</v>
      </c>
      <c r="AS10" s="43">
        <v>98.8</v>
      </c>
      <c r="AT10" s="43">
        <v>35</v>
      </c>
      <c r="AU10" s="44">
        <v>-0.71199999999999997</v>
      </c>
      <c r="AV10" s="47">
        <v>4.6100000000000003</v>
      </c>
      <c r="AW10" s="48">
        <v>1.32</v>
      </c>
      <c r="AX10" s="47">
        <v>1.17</v>
      </c>
      <c r="AY10" s="44">
        <v>0.14699999999999999</v>
      </c>
      <c r="AZ10" s="44">
        <v>0.27800000000000002</v>
      </c>
      <c r="BA10" s="43">
        <v>70.099999999999994</v>
      </c>
      <c r="BB10" s="45">
        <v>0</v>
      </c>
      <c r="BC10" s="45">
        <v>0</v>
      </c>
      <c r="BD10" s="45">
        <v>0</v>
      </c>
      <c r="BE10" s="43">
        <v>165</v>
      </c>
      <c r="BF10" s="43">
        <v>2957.8</v>
      </c>
      <c r="BG10" s="43">
        <v>2722.4</v>
      </c>
      <c r="BH10" s="43">
        <v>1471.2</v>
      </c>
      <c r="BI10" s="43">
        <v>1632.4</v>
      </c>
    </row>
    <row r="11" spans="2:61">
      <c r="B11" s="110" t="s">
        <v>150</v>
      </c>
      <c r="C11" s="126" t="e">
        <f>#REF!</f>
        <v>#REF!</v>
      </c>
      <c r="D11" s="127"/>
      <c r="E11" s="110" t="s">
        <v>149</v>
      </c>
      <c r="F11" s="126" t="e">
        <f>#REF!</f>
        <v>#REF!</v>
      </c>
      <c r="H11" s="110" t="s">
        <v>193</v>
      </c>
      <c r="I11" s="125">
        <f>'Risk premium'!D19</f>
        <v>5.7615640000000003E-2</v>
      </c>
      <c r="M11" s="41" t="s">
        <v>142</v>
      </c>
      <c r="N11" s="41" t="s">
        <v>144</v>
      </c>
      <c r="O11" s="63" t="s">
        <v>158</v>
      </c>
      <c r="P11" s="64">
        <f t="shared" si="8"/>
        <v>1.28</v>
      </c>
      <c r="Q11" s="81">
        <v>77743.5</v>
      </c>
      <c r="R11" s="66">
        <f t="shared" si="0"/>
        <v>20943.003465056569</v>
      </c>
      <c r="S11" s="66">
        <f t="shared" si="11"/>
        <v>98686.503465056565</v>
      </c>
      <c r="T11" s="65">
        <v>6681</v>
      </c>
      <c r="U11" s="67">
        <f t="shared" si="1"/>
        <v>6.7699227000839524E-2</v>
      </c>
      <c r="V11" s="66">
        <f t="shared" si="9"/>
        <v>92005.503465056565</v>
      </c>
      <c r="W11" s="68">
        <f>VLOOKUP(N11,'[1]Marg tax rate by country'!$A$2:$B$131,2)</f>
        <v>0.4</v>
      </c>
      <c r="X11" s="68">
        <f t="shared" si="10"/>
        <v>0.26938590962661274</v>
      </c>
      <c r="Y11" s="64">
        <f t="shared" si="2"/>
        <v>1.1018984502051918</v>
      </c>
      <c r="Z11" s="64">
        <f t="shared" si="3"/>
        <v>1.1819130500776536</v>
      </c>
      <c r="AA11" s="69">
        <f t="shared" si="4"/>
        <v>3.2020848315545387</v>
      </c>
      <c r="AD11" s="42">
        <f t="shared" si="5"/>
        <v>6.1466262233159735E-2</v>
      </c>
      <c r="AE11" s="42">
        <f t="shared" si="6"/>
        <v>6.1466262233159735E-2</v>
      </c>
      <c r="AF11" s="43">
        <v>17473</v>
      </c>
      <c r="AH11" s="66">
        <f t="shared" si="7"/>
        <v>3470.0034650565676</v>
      </c>
      <c r="AI11" s="43">
        <v>709</v>
      </c>
      <c r="AJ11" s="43">
        <v>623</v>
      </c>
      <c r="AK11" s="43">
        <v>623</v>
      </c>
      <c r="AL11" s="43">
        <v>502</v>
      </c>
      <c r="AM11" s="43">
        <v>502</v>
      </c>
      <c r="AN11" s="43">
        <v>1502</v>
      </c>
      <c r="AO11" s="45">
        <v>0</v>
      </c>
      <c r="AP11" s="43">
        <v>23.4</v>
      </c>
      <c r="AQ11" s="43">
        <v>28733</v>
      </c>
      <c r="AR11" s="43">
        <v>6169</v>
      </c>
      <c r="AS11" s="43">
        <v>5264</v>
      </c>
      <c r="AT11" s="43">
        <v>681</v>
      </c>
      <c r="AU11" s="43">
        <v>-1074</v>
      </c>
      <c r="AV11" s="43">
        <v>753</v>
      </c>
      <c r="AW11" s="48">
        <v>1.28</v>
      </c>
      <c r="AX11" s="47">
        <v>1.57</v>
      </c>
      <c r="AY11" s="44">
        <v>0.46400000000000002</v>
      </c>
      <c r="AZ11" s="44">
        <v>0.53100000000000003</v>
      </c>
      <c r="BA11" s="43">
        <v>14289</v>
      </c>
      <c r="BB11" s="43">
        <v>13320</v>
      </c>
      <c r="BC11" s="43">
        <v>15495</v>
      </c>
      <c r="BD11" s="43">
        <v>15455</v>
      </c>
      <c r="BE11" s="43">
        <v>16458</v>
      </c>
      <c r="BF11" s="43">
        <v>35426.1</v>
      </c>
      <c r="BG11" s="43">
        <v>38970.1</v>
      </c>
      <c r="BH11" s="43">
        <v>42365.5</v>
      </c>
      <c r="BI11" s="43">
        <v>54453.3</v>
      </c>
    </row>
    <row r="12" spans="2:61">
      <c r="M12" s="41" t="s">
        <v>142</v>
      </c>
      <c r="N12" s="41" t="s">
        <v>144</v>
      </c>
      <c r="O12" s="63" t="s">
        <v>151</v>
      </c>
      <c r="P12" s="64">
        <f t="shared" si="8"/>
        <v>1.61</v>
      </c>
      <c r="Q12" s="83">
        <v>1.32</v>
      </c>
      <c r="R12" s="66">
        <f t="shared" si="0"/>
        <v>0.95499999999999996</v>
      </c>
      <c r="S12" s="66">
        <f t="shared" si="11"/>
        <v>2.2749999999999999</v>
      </c>
      <c r="T12" s="72">
        <v>0.05</v>
      </c>
      <c r="U12" s="67">
        <f t="shared" si="1"/>
        <v>2.197802197802198E-2</v>
      </c>
      <c r="V12" s="66">
        <f>S12-T12</f>
        <v>2.2250000000000001</v>
      </c>
      <c r="W12" s="68">
        <f>VLOOKUP(N12,'[1]Marg tax rate by country'!$A$2:$B$131,2)</f>
        <v>0.4</v>
      </c>
      <c r="X12" s="68">
        <f t="shared" si="10"/>
        <v>0.7234848484848484</v>
      </c>
      <c r="Y12" s="64">
        <f t="shared" si="2"/>
        <v>1.122662440570523</v>
      </c>
      <c r="Z12" s="64">
        <f t="shared" si="3"/>
        <v>1.1478908100215461</v>
      </c>
      <c r="AA12" s="69">
        <f>V12/AQ12</f>
        <v>3.3712121212121211</v>
      </c>
      <c r="AD12" s="42">
        <f t="shared" si="5"/>
        <v>0.1</v>
      </c>
      <c r="AE12" s="42">
        <f t="shared" si="6"/>
        <v>0.47120418848167545</v>
      </c>
      <c r="AF12" s="44">
        <v>0.95499999999999996</v>
      </c>
      <c r="AH12" s="66">
        <f t="shared" si="7"/>
        <v>0</v>
      </c>
      <c r="AI12" s="46"/>
      <c r="AJ12" s="46"/>
      <c r="AK12" s="46"/>
      <c r="AL12" s="46"/>
      <c r="AM12" s="46"/>
      <c r="AN12" s="46"/>
      <c r="AO12" s="45">
        <v>0</v>
      </c>
      <c r="AP12" s="45">
        <v>0</v>
      </c>
      <c r="AQ12" s="45">
        <v>0.66</v>
      </c>
      <c r="AR12" s="44">
        <v>-0.36199999999999999</v>
      </c>
      <c r="AS12" s="44">
        <v>-0.38500000000000001</v>
      </c>
      <c r="AT12" s="45">
        <v>0</v>
      </c>
      <c r="AU12" s="44">
        <v>-0.45</v>
      </c>
      <c r="AV12" s="45">
        <v>0</v>
      </c>
      <c r="AW12" s="48">
        <v>1.61</v>
      </c>
      <c r="AX12" s="47">
        <v>-1.5</v>
      </c>
      <c r="AY12" s="44">
        <v>4.0000000000000001E-3</v>
      </c>
      <c r="AZ12" s="44">
        <v>1E-3</v>
      </c>
      <c r="BA12" s="45">
        <v>0</v>
      </c>
      <c r="BB12" s="45">
        <v>0</v>
      </c>
      <c r="BC12" s="45">
        <v>0</v>
      </c>
      <c r="BD12" s="44">
        <v>0.309</v>
      </c>
      <c r="BE12" s="44">
        <v>0.75900000000000001</v>
      </c>
      <c r="BF12" s="46"/>
      <c r="BG12" s="47">
        <v>7.82</v>
      </c>
      <c r="BH12" s="43">
        <v>22.4</v>
      </c>
      <c r="BI12" s="44">
        <v>0.159</v>
      </c>
    </row>
    <row r="13" spans="2:61" ht="46.5">
      <c r="B13" s="90" t="s">
        <v>84</v>
      </c>
      <c r="C13" s="90" t="s">
        <v>85</v>
      </c>
      <c r="D13" s="90" t="s">
        <v>113</v>
      </c>
      <c r="E13" s="91" t="s">
        <v>169</v>
      </c>
      <c r="F13" s="91" t="s">
        <v>164</v>
      </c>
      <c r="G13" s="91" t="s">
        <v>197</v>
      </c>
      <c r="M13" s="41" t="s">
        <v>142</v>
      </c>
      <c r="N13" s="41" t="s">
        <v>144</v>
      </c>
      <c r="O13" s="63" t="s">
        <v>159</v>
      </c>
      <c r="P13" s="64">
        <f t="shared" si="8"/>
        <v>2.6</v>
      </c>
      <c r="Q13" s="82">
        <v>0.29799999999999999</v>
      </c>
      <c r="R13" s="66">
        <f t="shared" si="0"/>
        <v>1.6423300970873786</v>
      </c>
      <c r="S13" s="66">
        <f t="shared" si="11"/>
        <v>1.9403300970873787</v>
      </c>
      <c r="T13" s="70">
        <v>2E-3</v>
      </c>
      <c r="U13" s="67">
        <f t="shared" si="1"/>
        <v>1.0307524492879803E-3</v>
      </c>
      <c r="V13" s="66">
        <f t="shared" si="9"/>
        <v>1.9383300970873787</v>
      </c>
      <c r="W13" s="68">
        <f>VLOOKUP(N13,'[1]Marg tax rate by country'!$A$2:$B$131,2)</f>
        <v>0.4</v>
      </c>
      <c r="X13" s="68">
        <f t="shared" si="10"/>
        <v>5.5111748224408679</v>
      </c>
      <c r="Y13" s="64">
        <f t="shared" si="2"/>
        <v>0.60370981163476822</v>
      </c>
      <c r="Z13" s="64">
        <f t="shared" si="3"/>
        <v>0.60433272907544766</v>
      </c>
      <c r="AA13" s="69">
        <f>V13/AQ13</f>
        <v>2.8973544052128228</v>
      </c>
      <c r="AD13" s="42">
        <f t="shared" si="5"/>
        <v>0.03</v>
      </c>
      <c r="AE13" s="42">
        <f t="shared" si="6"/>
        <v>2.5925925925925925E-2</v>
      </c>
      <c r="AF13" s="47">
        <v>1.62</v>
      </c>
      <c r="AH13" s="66">
        <f t="shared" si="7"/>
        <v>2.2330097087378639E-2</v>
      </c>
      <c r="AI13" s="44">
        <v>2.3E-2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4">
        <v>0.66900000000000004</v>
      </c>
      <c r="AR13" s="44">
        <v>-0.315</v>
      </c>
      <c r="AS13" s="44">
        <v>-0.318</v>
      </c>
      <c r="AT13" s="44">
        <v>2E-3</v>
      </c>
      <c r="AU13" s="44">
        <v>-4.2000000000000003E-2</v>
      </c>
      <c r="AV13" s="44">
        <v>3.0000000000000001E-3</v>
      </c>
      <c r="AW13" s="48">
        <v>2.6</v>
      </c>
      <c r="AX13" s="44">
        <v>5.6000000000000001E-2</v>
      </c>
      <c r="AY13" s="44">
        <v>3.3000000000000002E-2</v>
      </c>
      <c r="AZ13" s="45">
        <v>0</v>
      </c>
      <c r="BA13" s="47">
        <v>1.32</v>
      </c>
      <c r="BB13" s="44">
        <v>0.75600000000000001</v>
      </c>
      <c r="BC13" s="44">
        <v>0.55300000000000005</v>
      </c>
      <c r="BD13" s="44">
        <v>0.21</v>
      </c>
      <c r="BE13" s="44">
        <v>0.44900000000000001</v>
      </c>
      <c r="BF13" s="47">
        <v>3.9</v>
      </c>
      <c r="BG13" s="47">
        <v>4.7699999999999996</v>
      </c>
      <c r="BH13" s="47">
        <v>6.47</v>
      </c>
      <c r="BI13" s="47">
        <v>1.08</v>
      </c>
    </row>
    <row r="14" spans="2:61" ht="15.5">
      <c r="B14" s="92" t="s">
        <v>90</v>
      </c>
      <c r="C14" s="93">
        <f>C4</f>
        <v>20356</v>
      </c>
      <c r="D14" s="94">
        <v>3.2707709654896493</v>
      </c>
      <c r="E14" s="93">
        <f>+C14*D14</f>
        <v>66579.813773507296</v>
      </c>
      <c r="F14" s="95">
        <f>E14/$E$19</f>
        <v>0.49270165104807634</v>
      </c>
      <c r="G14" s="94">
        <v>1.0313299971321013</v>
      </c>
      <c r="N14" s="61"/>
      <c r="O14" s="49" t="s">
        <v>146</v>
      </c>
      <c r="P14" s="73">
        <f>AVERAGE(P4:P13)</f>
        <v>1.3479999999999999</v>
      </c>
      <c r="Q14" s="74"/>
      <c r="R14" s="75"/>
      <c r="S14" s="75"/>
      <c r="T14" s="74"/>
      <c r="U14" s="76">
        <f>AVERAGE(U4:U13)</f>
        <v>4.6808051486642431E-2</v>
      </c>
      <c r="V14" s="75"/>
      <c r="W14" s="76">
        <f>AVERAGE(W4:W13)</f>
        <v>0.39999999999999997</v>
      </c>
      <c r="X14" s="76">
        <f>AVERAGE(X4:X13)</f>
        <v>1.293314798721342</v>
      </c>
      <c r="Y14" s="77">
        <f>AVERAGE(Y4:Y13)</f>
        <v>0.91678157845386432</v>
      </c>
      <c r="Z14" s="77">
        <f>AVERAGE(Z4:Z13)</f>
        <v>0.97167455964907179</v>
      </c>
      <c r="AA14" s="77">
        <f>AVERAGE(AA4:AA13)</f>
        <v>4.4260023713592229</v>
      </c>
      <c r="AD14" s="52">
        <f>AVERAGE(AD4:AD13)</f>
        <v>6.5783540694466819E-2</v>
      </c>
      <c r="AE14" s="53"/>
      <c r="AF14" s="50"/>
      <c r="AH14" s="75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</row>
    <row r="15" spans="2:61" ht="15.5">
      <c r="B15" s="92" t="s">
        <v>91</v>
      </c>
      <c r="C15" s="93">
        <f>C5</f>
        <v>14087</v>
      </c>
      <c r="D15" s="94">
        <v>3.2429047080243132</v>
      </c>
      <c r="E15" s="93">
        <f>+C15*D15</f>
        <v>45682.798621938498</v>
      </c>
      <c r="F15" s="95">
        <f>E15/$E$19</f>
        <v>0.33806027728004873</v>
      </c>
      <c r="G15" s="94">
        <v>0.70244712770110385</v>
      </c>
      <c r="N15" s="61"/>
      <c r="O15" s="49" t="s">
        <v>147</v>
      </c>
      <c r="P15" s="73">
        <f>P14</f>
        <v>1.3479999999999999</v>
      </c>
      <c r="Q15" s="75">
        <f>SUM(Q4:Q13)</f>
        <v>89572.634999999995</v>
      </c>
      <c r="R15" s="75">
        <f>SUM(R4:R13)</f>
        <v>22822.815229708067</v>
      </c>
      <c r="S15" s="75">
        <f>SUM(S4:S13)</f>
        <v>112395.45022970806</v>
      </c>
      <c r="T15" s="75">
        <f>SUM(T4:T13)</f>
        <v>7189.429000000001</v>
      </c>
      <c r="U15" s="54">
        <f>T15/S15</f>
        <v>6.3965480678324735E-2</v>
      </c>
      <c r="V15" s="75">
        <f>SUM(V4:V13)</f>
        <v>105206.02122970806</v>
      </c>
      <c r="W15" s="76">
        <f>W16</f>
        <v>0.4</v>
      </c>
      <c r="X15" s="55">
        <f>R15/Q15</f>
        <v>0.25479673819697352</v>
      </c>
      <c r="Y15" s="78">
        <f>P15/(1+(1-W15)*X15)</f>
        <v>1.1692476999457113</v>
      </c>
      <c r="Z15" s="78">
        <f>Y15/(1-U15)</f>
        <v>1.2491501924448691</v>
      </c>
      <c r="AA15" s="77">
        <f>V15/AQ15</f>
        <v>3.0887178802281978</v>
      </c>
      <c r="AD15" s="52">
        <f>AD14</f>
        <v>6.5783540694466819E-2</v>
      </c>
      <c r="AE15" s="52"/>
      <c r="AF15" s="51">
        <f>SUM(AF4:AF13)</f>
        <v>19233.285</v>
      </c>
      <c r="AH15" s="75">
        <f>SUM(AH4:AH13)</f>
        <v>3589.5302297080616</v>
      </c>
      <c r="AI15" s="50"/>
      <c r="AJ15" s="50"/>
      <c r="AK15" s="50"/>
      <c r="AL15" s="50"/>
      <c r="AM15" s="50"/>
      <c r="AN15" s="50"/>
      <c r="AO15" s="50"/>
      <c r="AP15" s="50"/>
      <c r="AQ15" s="56">
        <f>SUM(AQ4:AQ13)</f>
        <v>34061.389000000003</v>
      </c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</row>
    <row r="16" spans="2:61" ht="15.5">
      <c r="B16" s="102" t="s">
        <v>165</v>
      </c>
      <c r="C16" s="103">
        <f>C6</f>
        <v>5979</v>
      </c>
      <c r="D16" s="104">
        <f>AA16</f>
        <v>3.0497196183836808</v>
      </c>
      <c r="E16" s="103">
        <f>+C16*D16</f>
        <v>18234.273598316027</v>
      </c>
      <c r="F16" s="105">
        <f>E16/$E$19</f>
        <v>0.13493664518370119</v>
      </c>
      <c r="G16" s="104">
        <f>Z16</f>
        <v>1.0993488983343926</v>
      </c>
      <c r="N16" s="61"/>
      <c r="O16" s="49" t="s">
        <v>148</v>
      </c>
      <c r="P16" s="84">
        <f>MEDIAN(P4:P13)</f>
        <v>1.24</v>
      </c>
      <c r="Q16" s="74"/>
      <c r="R16" s="75"/>
      <c r="S16" s="75"/>
      <c r="T16" s="74"/>
      <c r="U16" s="79">
        <f>MEDIAN(U4:U13)</f>
        <v>2.9630388989572772E-2</v>
      </c>
      <c r="V16" s="75"/>
      <c r="W16" s="76">
        <f>MEDIAN(W4:W13)</f>
        <v>0.4</v>
      </c>
      <c r="X16" s="76">
        <f>MEDIAN(X4:X13)</f>
        <v>0.27063700666156693</v>
      </c>
      <c r="Y16" s="119">
        <f>P16/(1+(1-W16)*X16)</f>
        <v>1.0667747628414863</v>
      </c>
      <c r="Z16" s="116">
        <f>Y16/(1-U16)</f>
        <v>1.0993488983343926</v>
      </c>
      <c r="AA16" s="116">
        <f>MEDIAN(AA4:AA13)</f>
        <v>3.0497196183836808</v>
      </c>
      <c r="AD16" s="57">
        <f>MEDIAN(AD4:AD13)</f>
        <v>6.2419916377062713E-2</v>
      </c>
      <c r="AE16" s="52"/>
      <c r="AF16" s="50"/>
      <c r="AH16" s="75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</row>
    <row r="17" spans="2:27" ht="15.5">
      <c r="B17" s="92" t="s">
        <v>93</v>
      </c>
      <c r="C17" s="93">
        <f>C7</f>
        <v>3555</v>
      </c>
      <c r="D17" s="94">
        <v>0.8302393172016187</v>
      </c>
      <c r="E17" s="93">
        <f>+C17*D17</f>
        <v>2951.5007726517547</v>
      </c>
      <c r="F17" s="95">
        <f>E17/$E$19</f>
        <v>2.1841594641615468E-2</v>
      </c>
      <c r="G17" s="94">
        <v>0.67520868694355862</v>
      </c>
    </row>
    <row r="18" spans="2:27" ht="15.5">
      <c r="B18" s="92" t="s">
        <v>88</v>
      </c>
      <c r="C18" s="93">
        <f>C8</f>
        <v>1064</v>
      </c>
      <c r="D18" s="94">
        <v>1.5824467757165097</v>
      </c>
      <c r="E18" s="93">
        <f>+C18*D18</f>
        <v>1683.7233693623664</v>
      </c>
      <c r="F18" s="95">
        <f>E18/$E$19</f>
        <v>1.2459831846558312E-2</v>
      </c>
      <c r="G18" s="94">
        <v>1.2186587964584186</v>
      </c>
    </row>
    <row r="19" spans="2:27" ht="28.5" customHeight="1">
      <c r="B19" s="92" t="s">
        <v>166</v>
      </c>
      <c r="C19" s="93">
        <f>SUM(C14:C18)</f>
        <v>45041</v>
      </c>
      <c r="D19" s="92"/>
      <c r="E19" s="93">
        <f>SUM(E14:E18)</f>
        <v>135132.11013577593</v>
      </c>
      <c r="F19" s="95">
        <f>SUM(F14:F18)</f>
        <v>1.0000000000000002</v>
      </c>
      <c r="G19" s="118">
        <f>SUMPRODUCT(F14:F18,G14:G18)</f>
        <v>0.92388183347616348</v>
      </c>
      <c r="M19" t="s">
        <v>163</v>
      </c>
      <c r="O19" s="39" t="s">
        <v>98</v>
      </c>
      <c r="P19" s="34" t="s">
        <v>101</v>
      </c>
      <c r="Q19" s="85" t="s">
        <v>150</v>
      </c>
      <c r="R19" s="80" t="s">
        <v>107</v>
      </c>
      <c r="S19" s="80" t="s">
        <v>162</v>
      </c>
      <c r="T19" s="86" t="s">
        <v>109</v>
      </c>
      <c r="U19" s="80" t="s">
        <v>108</v>
      </c>
      <c r="V19" s="85" t="s">
        <v>110</v>
      </c>
      <c r="W19" s="85" t="s">
        <v>149</v>
      </c>
      <c r="X19" s="87" t="s">
        <v>104</v>
      </c>
      <c r="Y19" s="39" t="s">
        <v>111</v>
      </c>
      <c r="AA19" s="80" t="s">
        <v>161</v>
      </c>
    </row>
    <row r="20" spans="2:27" ht="15" thickBot="1">
      <c r="O20" s="63" t="s">
        <v>157</v>
      </c>
      <c r="P20" s="64">
        <v>1.1200000000000001</v>
      </c>
      <c r="Q20" s="88">
        <v>738.8</v>
      </c>
      <c r="R20" s="66">
        <v>98.891980109023592</v>
      </c>
      <c r="S20" s="66">
        <f>+Q20+R20</f>
        <v>837.69198010902358</v>
      </c>
      <c r="T20" s="68">
        <f>+R20/Q20</f>
        <v>0.1338548729142171</v>
      </c>
      <c r="U20" s="68">
        <v>0.4</v>
      </c>
      <c r="V20" s="64">
        <f>P20/(1+(1-U20)*T20)</f>
        <v>1.0367366485941512</v>
      </c>
      <c r="W20" s="88">
        <v>143.6</v>
      </c>
      <c r="X20" s="67">
        <f>W20/S20</f>
        <v>0.17142339118647262</v>
      </c>
      <c r="Y20" s="64">
        <f>V20/(1-X20)</f>
        <v>1.2512260635485435</v>
      </c>
      <c r="AA20" s="66">
        <v>694.09198010902355</v>
      </c>
    </row>
    <row r="21" spans="2:27" ht="15.5">
      <c r="B21" s="97" t="s">
        <v>166</v>
      </c>
      <c r="C21" s="101">
        <f>E19</f>
        <v>135132.11013577593</v>
      </c>
      <c r="D21" s="146">
        <f>G19</f>
        <v>0.92388183347616348</v>
      </c>
      <c r="F21" s="147" t="s">
        <v>195</v>
      </c>
      <c r="G21" s="147"/>
      <c r="H21" s="147"/>
      <c r="I21" s="147"/>
      <c r="J21" s="147"/>
      <c r="K21" s="147"/>
      <c r="L21" s="147"/>
      <c r="M21" s="147"/>
      <c r="O21" s="63" t="s">
        <v>160</v>
      </c>
      <c r="P21" s="64">
        <v>1.19</v>
      </c>
      <c r="Q21" s="88">
        <v>0.23699999999999999</v>
      </c>
      <c r="R21" s="66">
        <v>1.1327272727272726</v>
      </c>
      <c r="S21" s="66">
        <f t="shared" ref="S21:S29" si="12">+Q21+R21</f>
        <v>1.3697272727272725</v>
      </c>
      <c r="T21" s="68">
        <f t="shared" ref="T21:T29" si="13">+R21/Q21</f>
        <v>4.7794399693133869</v>
      </c>
      <c r="U21" s="68">
        <v>0.4</v>
      </c>
      <c r="V21" s="64">
        <f t="shared" ref="V21:V29" si="14">P21/(1+(1-U21)*T21)</f>
        <v>0.30767926212436775</v>
      </c>
      <c r="W21" s="88">
        <v>0</v>
      </c>
      <c r="X21" s="67">
        <f t="shared" ref="X21:X29" si="15">W21/S21</f>
        <v>0</v>
      </c>
      <c r="Y21" s="64">
        <f t="shared" ref="Y21:Y29" si="16">V21/(1-X21)</f>
        <v>0.30767926212436775</v>
      </c>
      <c r="AA21" s="66">
        <v>1.3697272727272727</v>
      </c>
    </row>
    <row r="22" spans="2:27" ht="16" thickBot="1">
      <c r="B22" s="96" t="s">
        <v>167</v>
      </c>
      <c r="C22" s="93" t="e">
        <f>F11</f>
        <v>#REF!</v>
      </c>
      <c r="D22" s="99">
        <v>0</v>
      </c>
      <c r="E22" s="98"/>
      <c r="F22" s="148" t="s">
        <v>196</v>
      </c>
      <c r="G22" s="147"/>
      <c r="H22" s="147"/>
      <c r="I22" s="147"/>
      <c r="J22" s="147"/>
      <c r="K22" s="147"/>
      <c r="L22" s="147"/>
      <c r="M22" s="147"/>
      <c r="O22" s="63" t="s">
        <v>155</v>
      </c>
      <c r="P22" s="64">
        <v>0.93</v>
      </c>
      <c r="Q22" s="88">
        <v>3.21</v>
      </c>
      <c r="R22" s="66">
        <v>3.18</v>
      </c>
      <c r="S22" s="66">
        <f t="shared" si="12"/>
        <v>6.3900000000000006</v>
      </c>
      <c r="T22" s="68">
        <f t="shared" si="13"/>
        <v>0.99065420560747675</v>
      </c>
      <c r="U22" s="68">
        <v>0.4</v>
      </c>
      <c r="V22" s="64">
        <f t="shared" si="14"/>
        <v>0.5832942555685815</v>
      </c>
      <c r="W22" s="88">
        <v>5.1999999999999998E-2</v>
      </c>
      <c r="X22" s="67">
        <f t="shared" si="15"/>
        <v>8.1377151799686999E-3</v>
      </c>
      <c r="Y22" s="64">
        <f t="shared" si="16"/>
        <v>0.58807988215260898</v>
      </c>
      <c r="AA22" s="66">
        <v>6.338000000000001</v>
      </c>
    </row>
    <row r="23" spans="2:27" ht="16" thickBot="1">
      <c r="B23" s="100" t="s">
        <v>168</v>
      </c>
      <c r="C23" s="93" t="e">
        <f>+C21+C22</f>
        <v>#REF!</v>
      </c>
      <c r="D23" s="99" t="e">
        <f>D21*(C21/C23)+D22*C22/C23</f>
        <v>#REF!</v>
      </c>
      <c r="E23" s="98"/>
      <c r="F23" s="148" t="s">
        <v>198</v>
      </c>
      <c r="G23" s="147"/>
      <c r="H23" s="147"/>
      <c r="I23" s="147"/>
      <c r="J23" s="147"/>
      <c r="K23" s="147"/>
      <c r="L23" s="147"/>
      <c r="M23" s="147"/>
      <c r="O23" s="63" t="s">
        <v>156</v>
      </c>
      <c r="P23" s="64">
        <v>0.94</v>
      </c>
      <c r="Q23" s="88">
        <v>3.97</v>
      </c>
      <c r="R23" s="66">
        <v>0.34355485846083816</v>
      </c>
      <c r="S23" s="66">
        <f t="shared" si="12"/>
        <v>4.3135548584608383</v>
      </c>
      <c r="T23" s="68">
        <f t="shared" si="13"/>
        <v>8.6537747723133038E-2</v>
      </c>
      <c r="U23" s="68">
        <v>0.4</v>
      </c>
      <c r="V23" s="64">
        <f t="shared" si="14"/>
        <v>0.89360182635174512</v>
      </c>
      <c r="W23" s="88">
        <v>0.42499999999999999</v>
      </c>
      <c r="X23" s="67">
        <f t="shared" si="15"/>
        <v>9.8526624546429992E-2</v>
      </c>
      <c r="Y23" s="64">
        <f t="shared" si="16"/>
        <v>0.99126812913596662</v>
      </c>
      <c r="AA23" s="66">
        <v>3.8885548584608385</v>
      </c>
    </row>
    <row r="24" spans="2:27">
      <c r="F24" s="147" t="s">
        <v>199</v>
      </c>
      <c r="G24" s="147"/>
      <c r="H24" s="147"/>
      <c r="I24" s="147"/>
      <c r="J24" s="147"/>
      <c r="K24" s="147"/>
      <c r="L24" s="147"/>
      <c r="M24" s="147"/>
      <c r="O24" s="63" t="s">
        <v>154</v>
      </c>
      <c r="P24" s="64">
        <v>1.29</v>
      </c>
      <c r="Q24" s="88">
        <v>3631.7</v>
      </c>
      <c r="R24" s="66">
        <v>142.16264029836759</v>
      </c>
      <c r="S24" s="66">
        <f t="shared" si="12"/>
        <v>3773.8626402983673</v>
      </c>
      <c r="T24" s="68">
        <f t="shared" si="13"/>
        <v>3.9144929454075945E-2</v>
      </c>
      <c r="U24" s="68">
        <v>0.4</v>
      </c>
      <c r="V24" s="64">
        <f t="shared" si="14"/>
        <v>1.2603971065089516</v>
      </c>
      <c r="W24" s="88">
        <v>140.69999999999999</v>
      </c>
      <c r="X24" s="67">
        <f t="shared" si="15"/>
        <v>3.7282756001123567E-2</v>
      </c>
      <c r="Y24" s="64">
        <f t="shared" si="16"/>
        <v>1.309207988498877</v>
      </c>
      <c r="AA24" s="66">
        <v>3633.1626402983675</v>
      </c>
    </row>
    <row r="25" spans="2:27">
      <c r="F25" s="147" t="s">
        <v>200</v>
      </c>
      <c r="G25" s="147"/>
      <c r="H25" s="147"/>
      <c r="I25" s="147"/>
      <c r="J25" s="147"/>
      <c r="K25" s="147"/>
      <c r="L25" s="147"/>
      <c r="M25" s="147"/>
      <c r="O25" s="63" t="s">
        <v>153</v>
      </c>
      <c r="P25" s="64">
        <v>1.2</v>
      </c>
      <c r="Q25" s="88">
        <v>4719.6000000000004</v>
      </c>
      <c r="R25" s="66">
        <v>1283.203094206101</v>
      </c>
      <c r="S25" s="66">
        <f t="shared" si="12"/>
        <v>6002.8030942061014</v>
      </c>
      <c r="T25" s="68">
        <f t="shared" si="13"/>
        <v>0.27188810369652111</v>
      </c>
      <c r="U25" s="68">
        <v>0.4</v>
      </c>
      <c r="V25" s="64">
        <f t="shared" si="14"/>
        <v>1.0316964114587799</v>
      </c>
      <c r="W25" s="88">
        <v>67.2</v>
      </c>
      <c r="X25" s="67">
        <f t="shared" si="15"/>
        <v>1.1194770000845332E-2</v>
      </c>
      <c r="Y25" s="64">
        <f t="shared" si="16"/>
        <v>1.0433767744732316</v>
      </c>
      <c r="AA25" s="66">
        <v>5935.6030942061016</v>
      </c>
    </row>
    <row r="26" spans="2:27">
      <c r="O26" s="63" t="s">
        <v>152</v>
      </c>
      <c r="P26" s="64">
        <v>1.32</v>
      </c>
      <c r="Q26" s="88">
        <v>2730</v>
      </c>
      <c r="R26" s="66">
        <v>348.30043780972613</v>
      </c>
      <c r="S26" s="66">
        <f t="shared" si="12"/>
        <v>3078.3004378097262</v>
      </c>
      <c r="T26" s="68">
        <f t="shared" si="13"/>
        <v>0.12758257795228065</v>
      </c>
      <c r="U26" s="68">
        <v>0.4</v>
      </c>
      <c r="V26" s="64">
        <f t="shared" si="14"/>
        <v>1.226139571521583</v>
      </c>
      <c r="W26" s="88">
        <v>156.4</v>
      </c>
      <c r="X26" s="67">
        <f t="shared" si="15"/>
        <v>5.0807256523434666E-2</v>
      </c>
      <c r="Y26" s="64">
        <f t="shared" si="16"/>
        <v>1.2917709073824744</v>
      </c>
      <c r="AA26" s="66">
        <v>2921.9004378097261</v>
      </c>
    </row>
    <row r="27" spans="2:27">
      <c r="B27" t="s">
        <v>173</v>
      </c>
      <c r="O27" s="63" t="s">
        <v>158</v>
      </c>
      <c r="P27" s="64">
        <v>1.28</v>
      </c>
      <c r="Q27" s="88">
        <v>77743.5</v>
      </c>
      <c r="R27" s="66">
        <v>20943.003465056569</v>
      </c>
      <c r="S27" s="66">
        <f t="shared" si="12"/>
        <v>98686.503465056565</v>
      </c>
      <c r="T27" s="68">
        <f t="shared" si="13"/>
        <v>0.26938590962661274</v>
      </c>
      <c r="U27" s="68">
        <v>0.4</v>
      </c>
      <c r="V27" s="64">
        <f t="shared" si="14"/>
        <v>1.1018984502051918</v>
      </c>
      <c r="W27" s="88">
        <v>6681</v>
      </c>
      <c r="X27" s="67">
        <f t="shared" si="15"/>
        <v>6.7699227000839524E-2</v>
      </c>
      <c r="Y27" s="64">
        <f t="shared" si="16"/>
        <v>1.1819130500776536</v>
      </c>
      <c r="AA27" s="66">
        <v>92005.503465056565</v>
      </c>
    </row>
    <row r="28" spans="2:27" ht="51" customHeight="1">
      <c r="B28" s="111" t="s">
        <v>84</v>
      </c>
      <c r="C28" s="111" t="s">
        <v>171</v>
      </c>
      <c r="D28" s="111" t="s">
        <v>172</v>
      </c>
      <c r="E28" s="111" t="s">
        <v>170</v>
      </c>
      <c r="F28" s="91" t="s">
        <v>176</v>
      </c>
      <c r="G28" s="111" t="s">
        <v>174</v>
      </c>
      <c r="H28" s="111" t="s">
        <v>177</v>
      </c>
      <c r="J28" s="106"/>
      <c r="O28" s="63" t="s">
        <v>151</v>
      </c>
      <c r="P28" s="64">
        <v>1.61</v>
      </c>
      <c r="Q28" s="88">
        <v>1.32</v>
      </c>
      <c r="R28" s="66">
        <v>0.95499999999999996</v>
      </c>
      <c r="S28" s="66">
        <f t="shared" si="12"/>
        <v>2.2749999999999999</v>
      </c>
      <c r="T28" s="68">
        <f t="shared" si="13"/>
        <v>0.7234848484848484</v>
      </c>
      <c r="U28" s="68">
        <v>0.4</v>
      </c>
      <c r="V28" s="64">
        <f t="shared" si="14"/>
        <v>1.122662440570523</v>
      </c>
      <c r="W28" s="88">
        <v>0.05</v>
      </c>
      <c r="X28" s="67">
        <f t="shared" si="15"/>
        <v>2.197802197802198E-2</v>
      </c>
      <c r="Y28" s="64">
        <f t="shared" si="16"/>
        <v>1.1478908100215461</v>
      </c>
      <c r="AA28" s="66">
        <v>2.2250000000000001</v>
      </c>
    </row>
    <row r="29" spans="2:27" ht="15.5">
      <c r="B29" s="92" t="s">
        <v>90</v>
      </c>
      <c r="C29" s="115">
        <f>I4</f>
        <v>28627</v>
      </c>
      <c r="D29" s="95">
        <f>C29/$C$34</f>
        <v>0.38042524916943521</v>
      </c>
      <c r="E29" s="112" t="e">
        <f>D29*$E$34</f>
        <v>#REF!</v>
      </c>
      <c r="F29" s="93">
        <f>E14</f>
        <v>66579.813773507296</v>
      </c>
      <c r="G29" s="93" t="e">
        <f>F29-E29</f>
        <v>#REF!</v>
      </c>
      <c r="H29" s="95" t="e">
        <f>E29/G29</f>
        <v>#REF!</v>
      </c>
      <c r="J29" s="107"/>
      <c r="O29" s="63" t="s">
        <v>159</v>
      </c>
      <c r="P29" s="64">
        <v>2.6</v>
      </c>
      <c r="Q29" s="88">
        <v>0.29799999999999999</v>
      </c>
      <c r="R29" s="66">
        <v>1.6423300970873786</v>
      </c>
      <c r="S29" s="66">
        <f t="shared" si="12"/>
        <v>1.9403300970873787</v>
      </c>
      <c r="T29" s="68">
        <f t="shared" si="13"/>
        <v>5.5111748224408679</v>
      </c>
      <c r="U29" s="68">
        <v>0.4</v>
      </c>
      <c r="V29" s="64">
        <f t="shared" si="14"/>
        <v>0.60370981163476822</v>
      </c>
      <c r="W29" s="89">
        <v>2E-3</v>
      </c>
      <c r="X29" s="67">
        <f t="shared" si="15"/>
        <v>1.0307524492879803E-3</v>
      </c>
      <c r="Y29" s="64">
        <f t="shared" si="16"/>
        <v>0.60433272907544766</v>
      </c>
      <c r="AA29" s="66">
        <v>1.9383300970873787</v>
      </c>
    </row>
    <row r="30" spans="2:27" ht="15.5">
      <c r="B30" s="92" t="s">
        <v>91</v>
      </c>
      <c r="C30" s="115">
        <f>I5</f>
        <v>22056</v>
      </c>
      <c r="D30" s="95">
        <f>C30/$C$34</f>
        <v>0.2931029900332226</v>
      </c>
      <c r="E30" s="112" t="e">
        <f>D30*$E$34</f>
        <v>#REF!</v>
      </c>
      <c r="F30" s="93">
        <f>E15</f>
        <v>45682.798621938498</v>
      </c>
      <c r="G30" s="93" t="e">
        <f>F30-E30</f>
        <v>#REF!</v>
      </c>
      <c r="H30" s="95" t="e">
        <f>E30/G30</f>
        <v>#REF!</v>
      </c>
      <c r="J30" s="107"/>
      <c r="O30" s="49" t="s">
        <v>146</v>
      </c>
      <c r="P30" s="73">
        <v>1.3479999999999999</v>
      </c>
      <c r="Q30" s="73"/>
      <c r="R30" s="75"/>
      <c r="S30" s="75"/>
      <c r="T30" s="76">
        <v>1.293314798721342</v>
      </c>
      <c r="U30" s="76">
        <v>0.39999999999999997</v>
      </c>
      <c r="V30" s="77">
        <v>0.91678157845386432</v>
      </c>
      <c r="W30" s="73"/>
      <c r="X30" s="76">
        <v>4.6808051486642431E-2</v>
      </c>
      <c r="Y30" s="77">
        <v>0.97167455964907179</v>
      </c>
      <c r="AA30" s="75"/>
    </row>
    <row r="31" spans="2:27" ht="15.5">
      <c r="B31" s="102" t="s">
        <v>165</v>
      </c>
      <c r="C31" s="115">
        <f>I6</f>
        <v>14750</v>
      </c>
      <c r="D31" s="105">
        <f>C31/$C$34</f>
        <v>0.19601328903654486</v>
      </c>
      <c r="E31" s="117" t="e">
        <f>D31*$E$34</f>
        <v>#REF!</v>
      </c>
      <c r="F31" s="103">
        <f>E16</f>
        <v>18234.273598316027</v>
      </c>
      <c r="G31" s="103" t="e">
        <f>F31-E31</f>
        <v>#REF!</v>
      </c>
      <c r="H31" s="105" t="e">
        <f>E31/G31</f>
        <v>#REF!</v>
      </c>
      <c r="J31" s="107"/>
      <c r="O31" s="49" t="s">
        <v>147</v>
      </c>
      <c r="P31" s="73">
        <v>1.3479999999999999</v>
      </c>
      <c r="Q31" s="75">
        <v>89572.634999999995</v>
      </c>
      <c r="R31" s="75">
        <v>22822.815229708067</v>
      </c>
      <c r="S31" s="75">
        <f>SUM(S20:S29)</f>
        <v>112395.45022970806</v>
      </c>
      <c r="T31" s="55">
        <v>0.25479673819697352</v>
      </c>
      <c r="U31" s="76">
        <v>0.4</v>
      </c>
      <c r="V31" s="78">
        <v>1.1692476999457113</v>
      </c>
      <c r="W31" s="75">
        <v>7189.429000000001</v>
      </c>
      <c r="X31" s="54">
        <v>6.3965480678324735E-2</v>
      </c>
      <c r="Y31" s="78">
        <v>1.2491501924448691</v>
      </c>
      <c r="AA31" s="75">
        <v>105206.02122970806</v>
      </c>
    </row>
    <row r="32" spans="2:27" ht="15.5">
      <c r="B32" s="92" t="s">
        <v>93</v>
      </c>
      <c r="C32" s="115">
        <f>I7</f>
        <v>7506</v>
      </c>
      <c r="D32" s="95">
        <f>C32/$C$34</f>
        <v>9.9747508305647839E-2</v>
      </c>
      <c r="E32" s="112" t="e">
        <f>D32*$E$34</f>
        <v>#REF!</v>
      </c>
      <c r="F32" s="93">
        <f>E17</f>
        <v>2951.5007726517547</v>
      </c>
      <c r="G32" s="93" t="e">
        <f>F32-E32</f>
        <v>#REF!</v>
      </c>
      <c r="H32" s="95" t="e">
        <f>E32/G32</f>
        <v>#REF!</v>
      </c>
      <c r="J32" s="107"/>
      <c r="O32" s="49" t="s">
        <v>148</v>
      </c>
      <c r="P32" s="73">
        <v>1.24</v>
      </c>
      <c r="Q32" s="74"/>
      <c r="R32" s="75"/>
      <c r="S32" s="75"/>
      <c r="T32" s="76">
        <v>0.27063700666156693</v>
      </c>
      <c r="U32" s="76">
        <v>0.4</v>
      </c>
      <c r="V32" s="77">
        <v>1.0342165300264656</v>
      </c>
      <c r="W32" s="74"/>
      <c r="X32" s="79">
        <v>2.9630388989572772E-2</v>
      </c>
      <c r="Y32" s="77">
        <v>1.0956337922473889</v>
      </c>
      <c r="AA32" s="75"/>
    </row>
    <row r="33" spans="2:10" ht="15.5">
      <c r="B33" s="92" t="s">
        <v>88</v>
      </c>
      <c r="C33" s="115">
        <f>I8</f>
        <v>2311</v>
      </c>
      <c r="D33" s="95">
        <f>C33/$C$34</f>
        <v>3.0710963455149502E-2</v>
      </c>
      <c r="E33" s="112" t="e">
        <f>D33*$E$34</f>
        <v>#REF!</v>
      </c>
      <c r="F33" s="93">
        <f>E18</f>
        <v>1683.7233693623664</v>
      </c>
      <c r="G33" s="93" t="e">
        <f>F33-E33</f>
        <v>#REF!</v>
      </c>
      <c r="H33" s="95" t="e">
        <f>E33/G33</f>
        <v>#REF!</v>
      </c>
      <c r="J33" s="107"/>
    </row>
    <row r="34" spans="2:10" ht="15.5">
      <c r="B34" s="92" t="s">
        <v>166</v>
      </c>
      <c r="C34" s="115">
        <f>SUM(C29:C33)</f>
        <v>75250</v>
      </c>
      <c r="D34" s="113">
        <f>SUM(D29:D33)</f>
        <v>1</v>
      </c>
      <c r="E34" s="114" t="e">
        <f>C10</f>
        <v>#REF!</v>
      </c>
      <c r="F34" s="93">
        <f>SUM(F29:F33)</f>
        <v>135132.11013577593</v>
      </c>
      <c r="G34" s="93" t="e">
        <f>SUM(G29:G33)</f>
        <v>#REF!</v>
      </c>
      <c r="H34" s="124" t="e">
        <f>C10/C11</f>
        <v>#REF!</v>
      </c>
      <c r="J34" s="107"/>
    </row>
    <row r="35" spans="2:10" ht="15.5">
      <c r="B35" s="98"/>
      <c r="H35" s="109"/>
      <c r="J35" s="107"/>
    </row>
    <row r="36" spans="2:10" ht="15.5">
      <c r="J36" s="107"/>
    </row>
    <row r="38" spans="2:10" ht="46.5">
      <c r="B38" s="91" t="s">
        <v>84</v>
      </c>
      <c r="C38" s="91" t="s">
        <v>201</v>
      </c>
      <c r="D38" s="91" t="s">
        <v>178</v>
      </c>
      <c r="E38" s="91" t="s">
        <v>177</v>
      </c>
      <c r="F38" s="91" t="s">
        <v>179</v>
      </c>
      <c r="G38" s="136" t="s">
        <v>182</v>
      </c>
    </row>
    <row r="39" spans="2:10" ht="15.5">
      <c r="B39" s="92" t="s">
        <v>90</v>
      </c>
      <c r="C39" s="120">
        <f>G14</f>
        <v>1.0313299971321013</v>
      </c>
      <c r="D39" s="121">
        <f t="shared" ref="D39:D44" si="17">F29</f>
        <v>66579.813773507296</v>
      </c>
      <c r="E39" s="122" t="e">
        <f t="shared" ref="E39:E44" si="18">H29</f>
        <v>#REF!</v>
      </c>
      <c r="F39" s="120" t="e">
        <f t="shared" ref="F39:F44" si="19">C39*(1+(1-$F$10)*E39)</f>
        <v>#REF!</v>
      </c>
      <c r="G39" s="137" t="e">
        <f t="shared" ref="G39:G44" si="20">$I$10+F39*$I$11</f>
        <v>#REF!</v>
      </c>
    </row>
    <row r="40" spans="2:10" ht="15.5">
      <c r="B40" s="92" t="s">
        <v>91</v>
      </c>
      <c r="C40" s="120">
        <f>G15</f>
        <v>0.70244712770110385</v>
      </c>
      <c r="D40" s="121">
        <f t="shared" si="17"/>
        <v>45682.798621938498</v>
      </c>
      <c r="E40" s="122" t="e">
        <f t="shared" si="18"/>
        <v>#REF!</v>
      </c>
      <c r="F40" s="120" t="e">
        <f t="shared" si="19"/>
        <v>#REF!</v>
      </c>
      <c r="G40" s="137" t="e">
        <f t="shared" si="20"/>
        <v>#REF!</v>
      </c>
    </row>
    <row r="41" spans="2:10" ht="15.5">
      <c r="B41" s="102" t="s">
        <v>165</v>
      </c>
      <c r="C41" s="138">
        <f>G16</f>
        <v>1.0993488983343926</v>
      </c>
      <c r="D41" s="139">
        <f t="shared" si="17"/>
        <v>18234.273598316027</v>
      </c>
      <c r="E41" s="140" t="e">
        <f t="shared" si="18"/>
        <v>#REF!</v>
      </c>
      <c r="F41" s="138" t="e">
        <f t="shared" si="19"/>
        <v>#REF!</v>
      </c>
      <c r="G41" s="141" t="e">
        <f t="shared" si="20"/>
        <v>#REF!</v>
      </c>
    </row>
    <row r="42" spans="2:10" ht="15.5">
      <c r="B42" s="92" t="s">
        <v>93</v>
      </c>
      <c r="C42" s="120">
        <f>G17</f>
        <v>0.67520868694355862</v>
      </c>
      <c r="D42" s="121">
        <f t="shared" si="17"/>
        <v>2951.5007726517547</v>
      </c>
      <c r="E42" s="122" t="e">
        <f t="shared" si="18"/>
        <v>#REF!</v>
      </c>
      <c r="F42" s="120" t="e">
        <f t="shared" si="19"/>
        <v>#REF!</v>
      </c>
      <c r="G42" s="137" t="e">
        <f t="shared" si="20"/>
        <v>#REF!</v>
      </c>
    </row>
    <row r="43" spans="2:10" ht="15.5">
      <c r="B43" s="92" t="s">
        <v>88</v>
      </c>
      <c r="C43" s="120">
        <f>G18</f>
        <v>1.2186587964584186</v>
      </c>
      <c r="D43" s="121">
        <f t="shared" si="17"/>
        <v>1683.7233693623664</v>
      </c>
      <c r="E43" s="122" t="e">
        <f t="shared" si="18"/>
        <v>#REF!</v>
      </c>
      <c r="F43" s="120" t="e">
        <f t="shared" si="19"/>
        <v>#REF!</v>
      </c>
      <c r="G43" s="137" t="e">
        <f t="shared" si="20"/>
        <v>#REF!</v>
      </c>
    </row>
    <row r="44" spans="2:10" ht="15.5">
      <c r="B44" s="92" t="s">
        <v>166</v>
      </c>
      <c r="C44" s="123">
        <f>D21</f>
        <v>0.92388183347616348</v>
      </c>
      <c r="D44" s="121">
        <f t="shared" si="17"/>
        <v>135132.11013577593</v>
      </c>
      <c r="E44" s="124" t="e">
        <f t="shared" si="18"/>
        <v>#REF!</v>
      </c>
      <c r="F44" s="123" t="e">
        <f t="shared" si="19"/>
        <v>#REF!</v>
      </c>
      <c r="G44" s="137" t="e">
        <f t="shared" si="20"/>
        <v>#REF!</v>
      </c>
    </row>
    <row r="47" spans="2:10" ht="15.5">
      <c r="B47" s="92"/>
      <c r="C47" s="143" t="s">
        <v>194</v>
      </c>
      <c r="D47" s="142"/>
      <c r="E47" s="142"/>
      <c r="F47" s="142"/>
      <c r="G47" s="142"/>
    </row>
    <row r="48" spans="2:10" ht="15.5">
      <c r="B48" s="92" t="s">
        <v>167</v>
      </c>
      <c r="C48" s="144" t="e">
        <f>C22</f>
        <v>#REF!</v>
      </c>
      <c r="E48" s="109"/>
      <c r="F48" s="107"/>
      <c r="G48" s="142"/>
    </row>
    <row r="49" spans="2:7" ht="15.5">
      <c r="B49" s="92" t="s">
        <v>202</v>
      </c>
      <c r="C49" s="99" t="e">
        <f>D23</f>
        <v>#REF!</v>
      </c>
      <c r="D49" s="108"/>
      <c r="E49" s="109"/>
      <c r="G49" s="142"/>
    </row>
    <row r="50" spans="2:7" ht="15.5">
      <c r="B50" s="92" t="s">
        <v>203</v>
      </c>
      <c r="C50" s="145" t="e">
        <f>(1+(1-F10)*E44)*C49</f>
        <v>#REF!</v>
      </c>
      <c r="D50" s="142"/>
      <c r="E50" s="142"/>
      <c r="F50" s="142" t="e">
        <f>+F44*(1-U16)</f>
        <v>#REF!</v>
      </c>
      <c r="G50" s="142"/>
    </row>
    <row r="51" spans="2:7" ht="15.5">
      <c r="C51" s="107" t="s">
        <v>204</v>
      </c>
    </row>
  </sheetData>
  <pageMargins left="0.7" right="0.7" top="0.75" bottom="0.75" header="0.3" footer="0.3"/>
  <ignoredErrors>
    <ignoredError sqref="U15:AA15 U16:X16 AA16 U14:X14 Z14:AA14 E34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premia</vt:lpstr>
      <vt:lpstr>Ratings 2020</vt:lpstr>
      <vt:lpstr>Risk premium</vt:lpstr>
      <vt:lpstr>Levering example</vt:lpstr>
      <vt:lpstr>Disney Bottom Up 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Tziogkidis</dc:creator>
  <cp:lastModifiedBy>Panos Tziogkidis</cp:lastModifiedBy>
  <dcterms:created xsi:type="dcterms:W3CDTF">2015-06-05T18:19:34Z</dcterms:created>
  <dcterms:modified xsi:type="dcterms:W3CDTF">2020-09-14T00:27:00Z</dcterms:modified>
</cp:coreProperties>
</file>