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omments8.xml" ContentType="application/vnd.openxmlformats-officedocument.spreadsheetml.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omments9.xml" ContentType="application/vnd.openxmlformats-officedocument.spreadsheetml.comments+xml"/>
  <Override PartName="/xl/drawings/drawing6.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581FBCAB-3DC2-4656-8C11-1ADEF3A7152E}" xr6:coauthVersionLast="45" xr6:coauthVersionMax="45" xr10:uidLastSave="{00000000-0000-0000-0000-000000000000}"/>
  <bookViews>
    <workbookView xWindow="-110" yWindow="-110" windowWidth="19420" windowHeight="10420" firstSheet="8" activeTab="9" xr2:uid="{00000000-000D-0000-FFFF-FFFF00000000}"/>
  </bookViews>
  <sheets>
    <sheet name="Tools" sheetId="2" r:id="rId1"/>
    <sheet name="Sheet3" sheetId="22" r:id="rId2"/>
    <sheet name="Sheet1" sheetId="16" r:id="rId3"/>
    <sheet name="Real Estate (simple)" sheetId="8" r:id="rId4"/>
    <sheet name="HEP expansion" sheetId="4" r:id="rId5"/>
    <sheet name="Sheet4" sheetId="23" r:id="rId6"/>
    <sheet name="Sheet2" sheetId="21" r:id="rId7"/>
    <sheet name="HEP expansion with inflation" sheetId="6" r:id="rId8"/>
    <sheet name="HEP replacement" sheetId="5" r:id="rId9"/>
    <sheet name="HEP replacement with inflation" sheetId="7" r:id="rId10"/>
    <sheet name="Scenario Summary 2" sheetId="25" r:id="rId11"/>
    <sheet name="HEP expansion + infl + Sens" sheetId="10" r:id="rId12"/>
    <sheet name="HEP expansion + infl + Sens (2" sheetId="26" r:id="rId13"/>
    <sheet name="HEP expansion + wacc" sheetId="13" r:id="rId14"/>
    <sheet name="HEP exp.+financing in practice" sheetId="11" r:id="rId15"/>
    <sheet name="Real Estate + WACC" sheetId="15" r:id="rId16"/>
    <sheet name="Real Estate + fin. in practice" sheetId="12" r:id="rId17"/>
  </sheets>
  <definedNames>
    <definedName name="solver_adj" localSheetId="14" hidden="1">'HEP exp.+financing in practice'!$C$59:$F$59</definedName>
    <definedName name="solver_adj" localSheetId="11" hidden="1">'HEP expansion + infl + Sens'!$D$9</definedName>
    <definedName name="solver_adj" localSheetId="12" hidden="1">'HEP expansion + infl + Sens (2'!$D$9</definedName>
    <definedName name="solver_adj" localSheetId="13" hidden="1">'HEP expansion + wacc'!$C$54:$F$54</definedName>
    <definedName name="solver_cvg" localSheetId="14" hidden="1">0.0001</definedName>
    <definedName name="solver_cvg" localSheetId="11" hidden="1">0.0001</definedName>
    <definedName name="solver_cvg" localSheetId="12" hidden="1">0.0001</definedName>
    <definedName name="solver_cvg" localSheetId="13" hidden="1">0.0001</definedName>
    <definedName name="solver_drv" localSheetId="14" hidden="1">2</definedName>
    <definedName name="solver_drv" localSheetId="11" hidden="1">2</definedName>
    <definedName name="solver_drv" localSheetId="12" hidden="1">2</definedName>
    <definedName name="solver_drv" localSheetId="13" hidden="1">2</definedName>
    <definedName name="solver_eng" localSheetId="14" hidden="1">1</definedName>
    <definedName name="solver_eng" localSheetId="11" hidden="1">1</definedName>
    <definedName name="solver_eng" localSheetId="12" hidden="1">1</definedName>
    <definedName name="solver_eng" localSheetId="13" hidden="1">1</definedName>
    <definedName name="solver_est" localSheetId="14" hidden="1">1</definedName>
    <definedName name="solver_est" localSheetId="11" hidden="1">1</definedName>
    <definedName name="solver_est" localSheetId="12" hidden="1">1</definedName>
    <definedName name="solver_est" localSheetId="13" hidden="1">1</definedName>
    <definedName name="solver_itr" localSheetId="14" hidden="1">2147483647</definedName>
    <definedName name="solver_itr" localSheetId="11" hidden="1">2147483647</definedName>
    <definedName name="solver_itr" localSheetId="12" hidden="1">2147483647</definedName>
    <definedName name="solver_itr" localSheetId="13" hidden="1">2147483647</definedName>
    <definedName name="solver_lhs1" localSheetId="14" hidden="1">'HEP exp.+financing in practice'!$C$62:$F$62</definedName>
    <definedName name="solver_lhs1" localSheetId="11" hidden="1">'HEP expansion + infl + Sens'!$C$48:$F$48</definedName>
    <definedName name="solver_lhs1" localSheetId="12" hidden="1">'HEP expansion + infl + Sens (2'!$C$48:$F$48</definedName>
    <definedName name="solver_lhs1" localSheetId="13" hidden="1">'HEP expansion + wacc'!$C$57:$F$57</definedName>
    <definedName name="solver_mip" localSheetId="14" hidden="1">2147483647</definedName>
    <definedName name="solver_mip" localSheetId="11" hidden="1">2147483647</definedName>
    <definedName name="solver_mip" localSheetId="12" hidden="1">2147483647</definedName>
    <definedName name="solver_mip" localSheetId="13" hidden="1">2147483647</definedName>
    <definedName name="solver_mni" localSheetId="14" hidden="1">30</definedName>
    <definedName name="solver_mni" localSheetId="11" hidden="1">30</definedName>
    <definedName name="solver_mni" localSheetId="12" hidden="1">30</definedName>
    <definedName name="solver_mni" localSheetId="13" hidden="1">30</definedName>
    <definedName name="solver_mrt" localSheetId="14" hidden="1">0.075</definedName>
    <definedName name="solver_mrt" localSheetId="11" hidden="1">0.075</definedName>
    <definedName name="solver_mrt" localSheetId="12" hidden="1">0.075</definedName>
    <definedName name="solver_mrt" localSheetId="13" hidden="1">0.075</definedName>
    <definedName name="solver_msl" localSheetId="14" hidden="1">2</definedName>
    <definedName name="solver_msl" localSheetId="11" hidden="1">2</definedName>
    <definedName name="solver_msl" localSheetId="12" hidden="1">2</definedName>
    <definedName name="solver_msl" localSheetId="13" hidden="1">2</definedName>
    <definedName name="solver_neg" localSheetId="14" hidden="1">1</definedName>
    <definedName name="solver_neg" localSheetId="11" hidden="1">1</definedName>
    <definedName name="solver_neg" localSheetId="12" hidden="1">1</definedName>
    <definedName name="solver_neg" localSheetId="13" hidden="1">1</definedName>
    <definedName name="solver_nod" localSheetId="14" hidden="1">2147483647</definedName>
    <definedName name="solver_nod" localSheetId="11" hidden="1">2147483647</definedName>
    <definedName name="solver_nod" localSheetId="12" hidden="1">2147483647</definedName>
    <definedName name="solver_nod" localSheetId="13" hidden="1">2147483647</definedName>
    <definedName name="solver_num" localSheetId="14" hidden="1">1</definedName>
    <definedName name="solver_num" localSheetId="11" hidden="1">0</definedName>
    <definedName name="solver_num" localSheetId="12" hidden="1">0</definedName>
    <definedName name="solver_num" localSheetId="13" hidden="1">1</definedName>
    <definedName name="solver_nwt" localSheetId="14" hidden="1">1</definedName>
    <definedName name="solver_nwt" localSheetId="11" hidden="1">1</definedName>
    <definedName name="solver_nwt" localSheetId="12" hidden="1">1</definedName>
    <definedName name="solver_nwt" localSheetId="13" hidden="1">1</definedName>
    <definedName name="solver_opt" localSheetId="14" hidden="1">'HEP exp.+financing in practice'!$I$62</definedName>
    <definedName name="solver_opt" localSheetId="11" hidden="1">'HEP expansion + infl + Sens'!$B$50</definedName>
    <definedName name="solver_opt" localSheetId="12" hidden="1">'HEP expansion + infl + Sens (2'!$B$50</definedName>
    <definedName name="solver_opt" localSheetId="13" hidden="1">'HEP expansion + wacc'!$I$57</definedName>
    <definedName name="solver_pre" localSheetId="14" hidden="1">0.000001</definedName>
    <definedName name="solver_pre" localSheetId="11" hidden="1">0.000001</definedName>
    <definedName name="solver_pre" localSheetId="12" hidden="1">0.000001</definedName>
    <definedName name="solver_pre" localSheetId="13" hidden="1">0.000001</definedName>
    <definedName name="solver_rbv" localSheetId="14" hidden="1">2</definedName>
    <definedName name="solver_rbv" localSheetId="11" hidden="1">2</definedName>
    <definedName name="solver_rbv" localSheetId="12" hidden="1">2</definedName>
    <definedName name="solver_rbv" localSheetId="13" hidden="1">2</definedName>
    <definedName name="solver_rel1" localSheetId="14" hidden="1">2</definedName>
    <definedName name="solver_rel1" localSheetId="11" hidden="1">2</definedName>
    <definedName name="solver_rel1" localSheetId="12" hidden="1">2</definedName>
    <definedName name="solver_rel1" localSheetId="13" hidden="1">2</definedName>
    <definedName name="solver_rhs1" localSheetId="14" hidden="1">'HEP exp.+financing in practice'!$C$56:$F$56</definedName>
    <definedName name="solver_rhs1" localSheetId="11" hidden="1">'HEP expansion + infl + Sens'!$C$42:$F$42</definedName>
    <definedName name="solver_rhs1" localSheetId="12" hidden="1">'HEP expansion + infl + Sens (2'!$C$42:$F$42</definedName>
    <definedName name="solver_rhs1" localSheetId="13" hidden="1">'HEP expansion + wacc'!$C$51:$F$51</definedName>
    <definedName name="solver_rlx" localSheetId="14" hidden="1">2</definedName>
    <definedName name="solver_rlx" localSheetId="11" hidden="1">2</definedName>
    <definedName name="solver_rlx" localSheetId="12" hidden="1">2</definedName>
    <definedName name="solver_rlx" localSheetId="13" hidden="1">2</definedName>
    <definedName name="solver_rsd" localSheetId="14" hidden="1">0</definedName>
    <definedName name="solver_rsd" localSheetId="11" hidden="1">0</definedName>
    <definedName name="solver_rsd" localSheetId="12" hidden="1">0</definedName>
    <definedName name="solver_rsd" localSheetId="13" hidden="1">0</definedName>
    <definedName name="solver_scl" localSheetId="14" hidden="1">2</definedName>
    <definedName name="solver_scl" localSheetId="11" hidden="1">2</definedName>
    <definedName name="solver_scl" localSheetId="12" hidden="1">2</definedName>
    <definedName name="solver_scl" localSheetId="13" hidden="1">2</definedName>
    <definedName name="solver_sho" localSheetId="14" hidden="1">2</definedName>
    <definedName name="solver_sho" localSheetId="11" hidden="1">2</definedName>
    <definedName name="solver_sho" localSheetId="12" hidden="1">2</definedName>
    <definedName name="solver_sho" localSheetId="13" hidden="1">2</definedName>
    <definedName name="solver_ssz" localSheetId="14" hidden="1">100</definedName>
    <definedName name="solver_ssz" localSheetId="11" hidden="1">100</definedName>
    <definedName name="solver_ssz" localSheetId="12" hidden="1">100</definedName>
    <definedName name="solver_ssz" localSheetId="13" hidden="1">100</definedName>
    <definedName name="solver_tim" localSheetId="14" hidden="1">2147483647</definedName>
    <definedName name="solver_tim" localSheetId="11" hidden="1">2147483647</definedName>
    <definedName name="solver_tim" localSheetId="12" hidden="1">2147483647</definedName>
    <definedName name="solver_tim" localSheetId="13" hidden="1">2147483647</definedName>
    <definedName name="solver_tol" localSheetId="14" hidden="1">0.01</definedName>
    <definedName name="solver_tol" localSheetId="11" hidden="1">0.01</definedName>
    <definedName name="solver_tol" localSheetId="12" hidden="1">0.01</definedName>
    <definedName name="solver_tol" localSheetId="13" hidden="1">0.01</definedName>
    <definedName name="solver_typ" localSheetId="14" hidden="1">1</definedName>
    <definedName name="solver_typ" localSheetId="11" hidden="1">3</definedName>
    <definedName name="solver_typ" localSheetId="12" hidden="1">3</definedName>
    <definedName name="solver_typ" localSheetId="13" hidden="1">1</definedName>
    <definedName name="solver_val" localSheetId="14" hidden="1">3791.17</definedName>
    <definedName name="solver_val" localSheetId="11" hidden="1">0</definedName>
    <definedName name="solver_val" localSheetId="12" hidden="1">0</definedName>
    <definedName name="solver_val" localSheetId="13" hidden="1">3791.17</definedName>
    <definedName name="solver_ver" localSheetId="14" hidden="1">3</definedName>
    <definedName name="solver_ver" localSheetId="11" hidden="1">3</definedName>
    <definedName name="solver_ver" localSheetId="12" hidden="1">3</definedName>
    <definedName name="solver_ver" localSheetId="13" hidden="1">3</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3" i="15" l="1"/>
  <c r="F22" i="15"/>
  <c r="F24" i="15" s="1"/>
  <c r="B9" i="12"/>
  <c r="B3" i="12"/>
  <c r="C140" i="26" l="1"/>
  <c r="C141" i="26" s="1"/>
  <c r="C142" i="26" s="1"/>
  <c r="C143" i="26" s="1"/>
  <c r="C144" i="26" s="1"/>
  <c r="C145" i="26" s="1"/>
  <c r="C146" i="26" s="1"/>
  <c r="C147" i="26" s="1"/>
  <c r="C148" i="26" s="1"/>
  <c r="C149" i="26" s="1"/>
  <c r="E138" i="26"/>
  <c r="F138" i="26" s="1"/>
  <c r="G138" i="26" s="1"/>
  <c r="H138" i="26" s="1"/>
  <c r="I138" i="26" s="1"/>
  <c r="J138" i="26" s="1"/>
  <c r="K138" i="26" s="1"/>
  <c r="C125" i="26"/>
  <c r="C126" i="26" s="1"/>
  <c r="C127" i="26" s="1"/>
  <c r="C128" i="26" s="1"/>
  <c r="C129" i="26" s="1"/>
  <c r="C130" i="26" s="1"/>
  <c r="C131" i="26" s="1"/>
  <c r="C132" i="26" s="1"/>
  <c r="C133" i="26" s="1"/>
  <c r="C134" i="26" s="1"/>
  <c r="E123" i="26"/>
  <c r="F123" i="26" s="1"/>
  <c r="G123" i="26" s="1"/>
  <c r="H123" i="26" s="1"/>
  <c r="I123" i="26" s="1"/>
  <c r="J123" i="26" s="1"/>
  <c r="K123" i="26" s="1"/>
  <c r="C110" i="26"/>
  <c r="C111" i="26" s="1"/>
  <c r="C112" i="26" s="1"/>
  <c r="C113" i="26" s="1"/>
  <c r="C114" i="26" s="1"/>
  <c r="C115" i="26" s="1"/>
  <c r="C116" i="26" s="1"/>
  <c r="C117" i="26" s="1"/>
  <c r="C118" i="26" s="1"/>
  <c r="C119" i="26" s="1"/>
  <c r="E108" i="26"/>
  <c r="F108" i="26" s="1"/>
  <c r="G108" i="26" s="1"/>
  <c r="H108" i="26" s="1"/>
  <c r="I108" i="26" s="1"/>
  <c r="J108" i="26" s="1"/>
  <c r="K108" i="26" s="1"/>
  <c r="A67" i="26"/>
  <c r="A68" i="26" s="1"/>
  <c r="I66" i="26"/>
  <c r="B66" i="26"/>
  <c r="E50" i="26"/>
  <c r="C29" i="26"/>
  <c r="N25" i="26"/>
  <c r="N24" i="26"/>
  <c r="N23" i="26"/>
  <c r="B13" i="26"/>
  <c r="B12" i="26"/>
  <c r="B11" i="26"/>
  <c r="B10" i="26"/>
  <c r="H9" i="26"/>
  <c r="B9" i="26"/>
  <c r="H8" i="26"/>
  <c r="B8" i="26"/>
  <c r="B7" i="26"/>
  <c r="B19" i="26" s="1"/>
  <c r="B5" i="26"/>
  <c r="B4" i="26"/>
  <c r="B18" i="26" s="1"/>
  <c r="B3" i="26"/>
  <c r="B59" i="26" s="1"/>
  <c r="C59" i="26" s="1"/>
  <c r="D59" i="26" s="1"/>
  <c r="E59" i="26" s="1"/>
  <c r="F59" i="26" s="1"/>
  <c r="G59" i="26" s="1"/>
  <c r="H59" i="26" s="1"/>
  <c r="H9" i="10"/>
  <c r="N26" i="26" l="1"/>
  <c r="N27" i="26" s="1"/>
  <c r="N28" i="26" s="1"/>
  <c r="C25" i="26"/>
  <c r="D25" i="26" s="1"/>
  <c r="E25" i="26" s="1"/>
  <c r="F25" i="26" s="1"/>
  <c r="F38" i="26"/>
  <c r="C23" i="26"/>
  <c r="C24" i="26" s="1"/>
  <c r="B67" i="26"/>
  <c r="B68" i="26"/>
  <c r="I68" i="26"/>
  <c r="A69" i="26"/>
  <c r="F37" i="26"/>
  <c r="I67" i="26"/>
  <c r="B17" i="26"/>
  <c r="F36" i="26"/>
  <c r="B45" i="23"/>
  <c r="C47" i="23" s="1"/>
  <c r="B19" i="23"/>
  <c r="B18" i="23"/>
  <c r="B20" i="23" s="1"/>
  <c r="B17" i="23"/>
  <c r="D47" i="23" l="1"/>
  <c r="C26" i="26"/>
  <c r="F47" i="23"/>
  <c r="C46" i="23"/>
  <c r="C48" i="23" s="1"/>
  <c r="D46" i="23" s="1"/>
  <c r="D48" i="23" s="1"/>
  <c r="E46" i="23" s="1"/>
  <c r="E47" i="23"/>
  <c r="E48" i="23" s="1"/>
  <c r="F46" i="23" s="1"/>
  <c r="D23" i="26"/>
  <c r="D24" i="26" s="1"/>
  <c r="D26" i="26" s="1"/>
  <c r="F39" i="26"/>
  <c r="I69" i="26"/>
  <c r="A70" i="26"/>
  <c r="B69" i="26"/>
  <c r="F27" i="26"/>
  <c r="F32" i="26" s="1"/>
  <c r="B20" i="26"/>
  <c r="B41" i="26" s="1"/>
  <c r="E27" i="26"/>
  <c r="E32" i="26" s="1"/>
  <c r="D27" i="26"/>
  <c r="D32" i="26" s="1"/>
  <c r="C27" i="26"/>
  <c r="C32" i="26" s="1"/>
  <c r="D13" i="2"/>
  <c r="E13" i="2"/>
  <c r="F13" i="2"/>
  <c r="B17" i="2"/>
  <c r="C13" i="2"/>
  <c r="B14" i="2"/>
  <c r="B30" i="2"/>
  <c r="B8" i="22"/>
  <c r="B7" i="22"/>
  <c r="F5" i="22"/>
  <c r="E5" i="22"/>
  <c r="D5" i="22"/>
  <c r="C5" i="22"/>
  <c r="B5" i="22"/>
  <c r="B8" i="2"/>
  <c r="D28" i="26" l="1"/>
  <c r="F48" i="23"/>
  <c r="E23" i="26"/>
  <c r="E24" i="26" s="1"/>
  <c r="E26" i="26" s="1"/>
  <c r="E28" i="26" s="1"/>
  <c r="B42" i="26"/>
  <c r="B45" i="26"/>
  <c r="B46" i="26" s="1"/>
  <c r="B43" i="26"/>
  <c r="A71" i="26"/>
  <c r="I70" i="26"/>
  <c r="B70" i="26"/>
  <c r="C28" i="26"/>
  <c r="H15" i="2"/>
  <c r="B15" i="2" s="1"/>
  <c r="G36" i="21"/>
  <c r="G34" i="21"/>
  <c r="E24" i="21"/>
  <c r="F24" i="21"/>
  <c r="G24" i="21"/>
  <c r="D24" i="21"/>
  <c r="D52" i="21"/>
  <c r="E53" i="21" s="1"/>
  <c r="E22" i="21"/>
  <c r="F22" i="21"/>
  <c r="G22" i="21"/>
  <c r="G23" i="21" s="1"/>
  <c r="D22" i="21"/>
  <c r="C17" i="21"/>
  <c r="C18" i="21"/>
  <c r="C16" i="21"/>
  <c r="C19" i="21" l="1"/>
  <c r="C39" i="21" s="1"/>
  <c r="D53" i="21"/>
  <c r="D54" i="21" s="1"/>
  <c r="E52" i="21" s="1"/>
  <c r="E54" i="21" s="1"/>
  <c r="F52" i="21" s="1"/>
  <c r="F54" i="21" s="1"/>
  <c r="G52" i="21" s="1"/>
  <c r="G54" i="21" s="1"/>
  <c r="G35" i="21" s="1"/>
  <c r="G37" i="21" s="1"/>
  <c r="C41" i="21"/>
  <c r="C42" i="21" s="1"/>
  <c r="C40" i="21"/>
  <c r="F23" i="26"/>
  <c r="F24" i="26" s="1"/>
  <c r="F26" i="26" s="1"/>
  <c r="F28" i="26" s="1"/>
  <c r="B44" i="26"/>
  <c r="B47" i="26"/>
  <c r="A72" i="26"/>
  <c r="I71" i="26"/>
  <c r="B71" i="26"/>
  <c r="D29" i="26"/>
  <c r="C30" i="26"/>
  <c r="C31" i="26" s="1"/>
  <c r="C33" i="26" s="1"/>
  <c r="C41" i="26" s="1"/>
  <c r="G25" i="21"/>
  <c r="D25" i="21"/>
  <c r="E26" i="21"/>
  <c r="E30" i="21"/>
  <c r="G53" i="21"/>
  <c r="D23" i="21"/>
  <c r="F53" i="21"/>
  <c r="D30" i="21"/>
  <c r="D26" i="21"/>
  <c r="F23" i="21"/>
  <c r="F25" i="21" s="1"/>
  <c r="E23" i="21"/>
  <c r="E25" i="21" s="1"/>
  <c r="D8" i="2"/>
  <c r="C45" i="26" l="1"/>
  <c r="C46" i="26" s="1"/>
  <c r="C42" i="26"/>
  <c r="C44" i="26" s="1"/>
  <c r="C43" i="26"/>
  <c r="D30" i="26"/>
  <c r="D31" i="26" s="1"/>
  <c r="D33" i="26" s="1"/>
  <c r="D41" i="26" s="1"/>
  <c r="E29" i="26"/>
  <c r="B72" i="26"/>
  <c r="I72" i="26"/>
  <c r="A73" i="26"/>
  <c r="F26" i="21"/>
  <c r="F30" i="21"/>
  <c r="G30" i="21"/>
  <c r="G26" i="21"/>
  <c r="G27" i="21" s="1"/>
  <c r="G28" i="21" s="1"/>
  <c r="G29" i="21" s="1"/>
  <c r="G31" i="21" s="1"/>
  <c r="G39" i="21" s="1"/>
  <c r="G40" i="21" s="1"/>
  <c r="D27" i="21"/>
  <c r="D28" i="21" s="1"/>
  <c r="D29" i="21" s="1"/>
  <c r="D31" i="21" s="1"/>
  <c r="D39" i="21" s="1"/>
  <c r="E27" i="21"/>
  <c r="E28" i="21" s="1"/>
  <c r="E29" i="21" s="1"/>
  <c r="E31" i="21" s="1"/>
  <c r="E39" i="21" s="1"/>
  <c r="F27" i="21"/>
  <c r="F28" i="21" s="1"/>
  <c r="C40" i="11"/>
  <c r="D40" i="21" l="1"/>
  <c r="D41" i="21"/>
  <c r="D42" i="21" s="1"/>
  <c r="I73" i="26"/>
  <c r="B73" i="26"/>
  <c r="A74" i="26"/>
  <c r="E30" i="26"/>
  <c r="E31" i="26" s="1"/>
  <c r="E33" i="26" s="1"/>
  <c r="E41" i="26" s="1"/>
  <c r="F29" i="26"/>
  <c r="F30" i="26" s="1"/>
  <c r="F31" i="26" s="1"/>
  <c r="F33" i="26" s="1"/>
  <c r="F41" i="26" s="1"/>
  <c r="C47" i="26"/>
  <c r="D45" i="26"/>
  <c r="D42" i="26"/>
  <c r="D44" i="26" s="1"/>
  <c r="D43" i="26"/>
  <c r="E40" i="21"/>
  <c r="E41" i="21"/>
  <c r="F29" i="21"/>
  <c r="F31" i="21" s="1"/>
  <c r="F39" i="21" s="1"/>
  <c r="H8" i="10"/>
  <c r="C44" i="21" l="1"/>
  <c r="F40" i="21"/>
  <c r="B52" i="26"/>
  <c r="L65" i="26" s="1"/>
  <c r="D47" i="26"/>
  <c r="D46" i="26"/>
  <c r="A75" i="26"/>
  <c r="I74" i="26"/>
  <c r="B74" i="26"/>
  <c r="E43" i="26"/>
  <c r="F43" i="26" s="1"/>
  <c r="F42" i="26"/>
  <c r="F45" i="26"/>
  <c r="E42" i="26"/>
  <c r="E45" i="26"/>
  <c r="I42" i="26"/>
  <c r="B51" i="26"/>
  <c r="C46" i="21"/>
  <c r="E42" i="21"/>
  <c r="F41" i="21"/>
  <c r="C45" i="21"/>
  <c r="F44" i="21"/>
  <c r="B3" i="10"/>
  <c r="G43" i="5"/>
  <c r="B7" i="5"/>
  <c r="B28" i="5" l="1"/>
  <c r="E11" i="5"/>
  <c r="E65" i="26"/>
  <c r="B50" i="26"/>
  <c r="J65" i="26" s="1"/>
  <c r="F47" i="26"/>
  <c r="B53" i="26"/>
  <c r="M65" i="26" s="1"/>
  <c r="E47" i="26"/>
  <c r="B75" i="26"/>
  <c r="A76" i="26"/>
  <c r="I75" i="26"/>
  <c r="D65" i="26"/>
  <c r="K65" i="26"/>
  <c r="E46" i="26"/>
  <c r="F46" i="26"/>
  <c r="I43" i="26"/>
  <c r="E44" i="26"/>
  <c r="G41" i="21"/>
  <c r="G42" i="21" s="1"/>
  <c r="F42" i="21"/>
  <c r="C47" i="21" s="1"/>
  <c r="F46" i="21"/>
  <c r="C140" i="10"/>
  <c r="C141" i="10" s="1"/>
  <c r="C142" i="10" s="1"/>
  <c r="C143" i="10" s="1"/>
  <c r="C144" i="10" s="1"/>
  <c r="C145" i="10" s="1"/>
  <c r="C146" i="10" s="1"/>
  <c r="C147" i="10" s="1"/>
  <c r="C148" i="10" s="1"/>
  <c r="C149" i="10" s="1"/>
  <c r="E138" i="10"/>
  <c r="F138" i="10" s="1"/>
  <c r="G138" i="10" s="1"/>
  <c r="H138" i="10" s="1"/>
  <c r="I138" i="10" s="1"/>
  <c r="J138" i="10" s="1"/>
  <c r="K138" i="10" s="1"/>
  <c r="C125" i="10"/>
  <c r="C126" i="10" s="1"/>
  <c r="C127" i="10" s="1"/>
  <c r="C128" i="10" s="1"/>
  <c r="C129" i="10" s="1"/>
  <c r="C130" i="10" s="1"/>
  <c r="C131" i="10" s="1"/>
  <c r="C132" i="10" s="1"/>
  <c r="C133" i="10" s="1"/>
  <c r="C134" i="10" s="1"/>
  <c r="E123" i="10"/>
  <c r="F123" i="10" s="1"/>
  <c r="G123" i="10" s="1"/>
  <c r="H123" i="10" s="1"/>
  <c r="I123" i="10" s="1"/>
  <c r="J123" i="10" s="1"/>
  <c r="K123" i="10" s="1"/>
  <c r="C123" i="26" l="1"/>
  <c r="C65" i="26"/>
  <c r="C138" i="26"/>
  <c r="C108" i="26"/>
  <c r="I44" i="26"/>
  <c r="I46" i="26" s="1"/>
  <c r="F65" i="26"/>
  <c r="I45" i="26"/>
  <c r="B76" i="26"/>
  <c r="A77" i="26"/>
  <c r="I76" i="26"/>
  <c r="F44" i="26"/>
  <c r="B54" i="26" s="1"/>
  <c r="J46" i="21"/>
  <c r="H46" i="21"/>
  <c r="C110" i="10"/>
  <c r="C111" i="10" s="1"/>
  <c r="C112" i="10" s="1"/>
  <c r="C113" i="10" s="1"/>
  <c r="C114" i="10" s="1"/>
  <c r="C115" i="10" s="1"/>
  <c r="C116" i="10" s="1"/>
  <c r="C117" i="10" s="1"/>
  <c r="C118" i="10" s="1"/>
  <c r="C119" i="10" s="1"/>
  <c r="E108" i="10"/>
  <c r="F108" i="10" s="1"/>
  <c r="G108" i="10" s="1"/>
  <c r="H108" i="10" s="1"/>
  <c r="I108" i="10" s="1"/>
  <c r="J108" i="10" s="1"/>
  <c r="K108" i="10" s="1"/>
  <c r="G65" i="26" l="1"/>
  <c r="N65" i="26"/>
  <c r="I77" i="26"/>
  <c r="B77" i="26"/>
  <c r="A78" i="26"/>
  <c r="F47" i="21"/>
  <c r="D33" i="5"/>
  <c r="D37" i="5" s="1"/>
  <c r="B16" i="16"/>
  <c r="C6" i="16"/>
  <c r="C14" i="16"/>
  <c r="D14" i="16"/>
  <c r="E14" i="16"/>
  <c r="F14" i="16"/>
  <c r="B14" i="16"/>
  <c r="B3" i="8"/>
  <c r="B15" i="16" l="1"/>
  <c r="A79" i="26"/>
  <c r="I78" i="26"/>
  <c r="B78" i="26"/>
  <c r="N74" i="15"/>
  <c r="K74" i="15"/>
  <c r="H74" i="15"/>
  <c r="E75" i="15"/>
  <c r="E74" i="15"/>
  <c r="B74" i="15"/>
  <c r="B89" i="11"/>
  <c r="A75" i="15"/>
  <c r="A76" i="15" s="1"/>
  <c r="A77" i="15" s="1"/>
  <c r="A78" i="15" s="1"/>
  <c r="A79" i="15" s="1"/>
  <c r="A80" i="15" s="1"/>
  <c r="A81" i="15" s="1"/>
  <c r="A82" i="15" s="1"/>
  <c r="A83" i="15" s="1"/>
  <c r="A84" i="15" s="1"/>
  <c r="A85" i="15" s="1"/>
  <c r="A86" i="15" s="1"/>
  <c r="A87" i="15" s="1"/>
  <c r="A88" i="15" s="1"/>
  <c r="A89" i="15" s="1"/>
  <c r="A90" i="15" s="1"/>
  <c r="A91" i="15" s="1"/>
  <c r="A92" i="15" s="1"/>
  <c r="A93" i="15" s="1"/>
  <c r="A94" i="15" s="1"/>
  <c r="B94" i="15" s="1"/>
  <c r="A80" i="26" l="1"/>
  <c r="I79" i="26"/>
  <c r="B79" i="26"/>
  <c r="H81" i="15"/>
  <c r="K78" i="15"/>
  <c r="N78" i="15"/>
  <c r="E83" i="15"/>
  <c r="K86" i="15"/>
  <c r="N86" i="15"/>
  <c r="E90" i="15"/>
  <c r="E82" i="15"/>
  <c r="H80" i="15"/>
  <c r="K93" i="15"/>
  <c r="K77" i="15"/>
  <c r="N79" i="15"/>
  <c r="N87" i="15"/>
  <c r="E89" i="15"/>
  <c r="E81" i="15"/>
  <c r="H87" i="15"/>
  <c r="H79" i="15"/>
  <c r="K92" i="15"/>
  <c r="K84" i="15"/>
  <c r="K76" i="15"/>
  <c r="N80" i="15"/>
  <c r="N88" i="15"/>
  <c r="N94" i="15"/>
  <c r="K85" i="15"/>
  <c r="E88" i="15"/>
  <c r="E80" i="15"/>
  <c r="H86" i="15"/>
  <c r="H78" i="15"/>
  <c r="K91" i="15"/>
  <c r="K83" i="15"/>
  <c r="K75" i="15"/>
  <c r="N81" i="15"/>
  <c r="N89" i="15"/>
  <c r="K94" i="15"/>
  <c r="E79" i="15"/>
  <c r="N90" i="15"/>
  <c r="E94" i="15"/>
  <c r="E86" i="15"/>
  <c r="E78" i="15"/>
  <c r="H84" i="15"/>
  <c r="H76" i="15"/>
  <c r="K89" i="15"/>
  <c r="K81" i="15"/>
  <c r="N75" i="15"/>
  <c r="N83" i="15"/>
  <c r="N91" i="15"/>
  <c r="E91" i="15"/>
  <c r="E87" i="15"/>
  <c r="H85" i="15"/>
  <c r="H77" i="15"/>
  <c r="K90" i="15"/>
  <c r="K82" i="15"/>
  <c r="N82" i="15"/>
  <c r="E93" i="15"/>
  <c r="E85" i="15"/>
  <c r="E77" i="15"/>
  <c r="H83" i="15"/>
  <c r="H75" i="15"/>
  <c r="K88" i="15"/>
  <c r="K80" i="15"/>
  <c r="N76" i="15"/>
  <c r="N84" i="15"/>
  <c r="N92" i="15"/>
  <c r="E92" i="15"/>
  <c r="E84" i="15"/>
  <c r="E76" i="15"/>
  <c r="H82" i="15"/>
  <c r="K87" i="15"/>
  <c r="K79" i="15"/>
  <c r="N77" i="15"/>
  <c r="N85" i="15"/>
  <c r="N93" i="15"/>
  <c r="B81" i="15"/>
  <c r="B75" i="15"/>
  <c r="B88" i="15"/>
  <c r="B78" i="15"/>
  <c r="B91" i="15"/>
  <c r="B90" i="15"/>
  <c r="B89" i="15"/>
  <c r="B80" i="15"/>
  <c r="B87" i="15"/>
  <c r="B86" i="15"/>
  <c r="B93" i="15"/>
  <c r="B85" i="15"/>
  <c r="B77" i="15"/>
  <c r="B83" i="15"/>
  <c r="B82" i="15"/>
  <c r="B79" i="15"/>
  <c r="B92" i="15"/>
  <c r="B84" i="15"/>
  <c r="B76" i="15"/>
  <c r="E5" i="5"/>
  <c r="E7" i="5" s="1"/>
  <c r="B80" i="26" l="1"/>
  <c r="I80" i="26"/>
  <c r="A81" i="26"/>
  <c r="E12" i="5"/>
  <c r="G45" i="5"/>
  <c r="G42" i="5"/>
  <c r="F33" i="5"/>
  <c r="F37" i="5" s="1"/>
  <c r="C33" i="5"/>
  <c r="C37" i="5" s="1"/>
  <c r="B27" i="5"/>
  <c r="B24" i="5"/>
  <c r="N23" i="10"/>
  <c r="I81" i="26" l="1"/>
  <c r="B81" i="26"/>
  <c r="A82" i="26"/>
  <c r="F70" i="2"/>
  <c r="G70" i="2" s="1"/>
  <c r="F69" i="2"/>
  <c r="G69" i="2" s="1"/>
  <c r="A83" i="26" l="1"/>
  <c r="I82" i="26"/>
  <c r="B82" i="26"/>
  <c r="F34" i="4"/>
  <c r="C8" i="2"/>
  <c r="C9" i="2" s="1"/>
  <c r="B9" i="2"/>
  <c r="A84" i="26" l="1"/>
  <c r="I83" i="26"/>
  <c r="B83" i="26"/>
  <c r="B36" i="2"/>
  <c r="C7" i="16"/>
  <c r="D6" i="16"/>
  <c r="C4" i="16"/>
  <c r="C5" i="16" s="1"/>
  <c r="D4" i="16"/>
  <c r="E4" i="16"/>
  <c r="F4" i="16"/>
  <c r="B4" i="16"/>
  <c r="B84" i="26" l="1"/>
  <c r="I84" i="26"/>
  <c r="A85" i="26"/>
  <c r="B29" i="2"/>
  <c r="B24" i="2"/>
  <c r="C27" i="2"/>
  <c r="D27" i="2"/>
  <c r="E27" i="2"/>
  <c r="F27" i="2"/>
  <c r="I85" i="26" l="1"/>
  <c r="B85" i="26"/>
  <c r="A86" i="26"/>
  <c r="B28" i="2"/>
  <c r="B19" i="15"/>
  <c r="F27" i="15" s="1"/>
  <c r="C66" i="15"/>
  <c r="D66" i="15" s="1"/>
  <c r="E66" i="15" s="1"/>
  <c r="F66" i="15" s="1"/>
  <c r="G66" i="15" s="1"/>
  <c r="H66" i="15" s="1"/>
  <c r="I66" i="15" s="1"/>
  <c r="J66" i="15" s="1"/>
  <c r="K66" i="15" s="1"/>
  <c r="L66" i="15" s="1"/>
  <c r="L51" i="15"/>
  <c r="C42" i="15"/>
  <c r="C38" i="15"/>
  <c r="D38" i="15" s="1"/>
  <c r="E38" i="15" s="1"/>
  <c r="F38" i="15" s="1"/>
  <c r="G38" i="15" s="1"/>
  <c r="H38" i="15" s="1"/>
  <c r="I38" i="15" s="1"/>
  <c r="J38" i="15" s="1"/>
  <c r="K38" i="15" s="1"/>
  <c r="L38" i="15" s="1"/>
  <c r="B32" i="15"/>
  <c r="B31" i="15"/>
  <c r="B9" i="15"/>
  <c r="C36" i="15" s="1"/>
  <c r="B3" i="15"/>
  <c r="B68" i="15" s="1"/>
  <c r="E21" i="13"/>
  <c r="B19" i="13"/>
  <c r="B19" i="11"/>
  <c r="A76" i="13"/>
  <c r="A77" i="13" s="1"/>
  <c r="I75" i="13"/>
  <c r="B75" i="13"/>
  <c r="C38" i="13"/>
  <c r="B13" i="13"/>
  <c r="B12" i="13"/>
  <c r="B11" i="13"/>
  <c r="B10" i="13"/>
  <c r="B9" i="13"/>
  <c r="B8" i="13"/>
  <c r="B7" i="13"/>
  <c r="B28" i="13" s="1"/>
  <c r="B5" i="13"/>
  <c r="F45" i="13" s="1"/>
  <c r="B4" i="13"/>
  <c r="B27" i="13" s="1"/>
  <c r="B3" i="13"/>
  <c r="C68" i="15" l="1"/>
  <c r="D68" i="15" s="1"/>
  <c r="E68" i="15" s="1"/>
  <c r="F68" i="15" s="1"/>
  <c r="G68" i="15" s="1"/>
  <c r="H68" i="15" s="1"/>
  <c r="I68" i="15" s="1"/>
  <c r="J68" i="15" s="1"/>
  <c r="K68" i="15" s="1"/>
  <c r="L68" i="15" s="1"/>
  <c r="I86" i="26"/>
  <c r="B86" i="26"/>
  <c r="G19" i="13"/>
  <c r="F59" i="13" s="1"/>
  <c r="E59" i="13" s="1"/>
  <c r="B26" i="13"/>
  <c r="D36" i="13" s="1"/>
  <c r="D41" i="13" s="1"/>
  <c r="G16" i="13"/>
  <c r="B20" i="13" s="1"/>
  <c r="E59" i="15"/>
  <c r="F47" i="13"/>
  <c r="B16" i="15"/>
  <c r="B18" i="15" s="1"/>
  <c r="G18" i="15" s="1"/>
  <c r="D36" i="15"/>
  <c r="C37" i="15"/>
  <c r="D37" i="15" s="1"/>
  <c r="E37" i="15" s="1"/>
  <c r="F37" i="15" s="1"/>
  <c r="G37" i="15" s="1"/>
  <c r="H37" i="15" s="1"/>
  <c r="I37" i="15" s="1"/>
  <c r="J37" i="15" s="1"/>
  <c r="K37" i="15" s="1"/>
  <c r="L37" i="15" s="1"/>
  <c r="B30" i="15"/>
  <c r="C34" i="13"/>
  <c r="D34" i="13" s="1"/>
  <c r="E34" i="13" s="1"/>
  <c r="F34" i="13" s="1"/>
  <c r="B77" i="13"/>
  <c r="A78" i="13"/>
  <c r="I77" i="13"/>
  <c r="B68" i="13"/>
  <c r="C68" i="13" s="1"/>
  <c r="D68" i="13" s="1"/>
  <c r="E68" i="13" s="1"/>
  <c r="F68" i="13" s="1"/>
  <c r="F36" i="13"/>
  <c r="F41" i="13" s="1"/>
  <c r="B76" i="13"/>
  <c r="I76" i="13"/>
  <c r="C32" i="13"/>
  <c r="B27" i="12"/>
  <c r="C35" i="12"/>
  <c r="C41" i="12"/>
  <c r="C36" i="13" l="1"/>
  <c r="C41" i="13" s="1"/>
  <c r="E36" i="13"/>
  <c r="E41" i="13" s="1"/>
  <c r="B29" i="13"/>
  <c r="B50" i="13" s="1"/>
  <c r="B51" i="13" s="1"/>
  <c r="B20" i="15"/>
  <c r="G20" i="15" s="1"/>
  <c r="C39" i="15"/>
  <c r="J40" i="15"/>
  <c r="J45" i="15" s="1"/>
  <c r="B33" i="15"/>
  <c r="B54" i="15" s="1"/>
  <c r="I40" i="15"/>
  <c r="I45" i="15" s="1"/>
  <c r="K40" i="15"/>
  <c r="K45" i="15" s="1"/>
  <c r="H40" i="15"/>
  <c r="H45" i="15" s="1"/>
  <c r="G40" i="15"/>
  <c r="G45" i="15" s="1"/>
  <c r="F40" i="15"/>
  <c r="F45" i="15" s="1"/>
  <c r="E40" i="15"/>
  <c r="E45" i="15" s="1"/>
  <c r="C40" i="15"/>
  <c r="C45" i="15" s="1"/>
  <c r="L40" i="15"/>
  <c r="L45" i="15" s="1"/>
  <c r="D40" i="15"/>
  <c r="D45" i="15" s="1"/>
  <c r="D39" i="15"/>
  <c r="E36" i="15"/>
  <c r="B17" i="13"/>
  <c r="E17" i="13" s="1"/>
  <c r="B52" i="13"/>
  <c r="B54" i="13"/>
  <c r="F46" i="13"/>
  <c r="F48" i="13" s="1"/>
  <c r="G68" i="13"/>
  <c r="H68" i="13" s="1"/>
  <c r="A79" i="13"/>
  <c r="I78" i="13"/>
  <c r="B78" i="13"/>
  <c r="C33" i="13"/>
  <c r="C35" i="13" s="1"/>
  <c r="C37" i="13" s="1"/>
  <c r="D32" i="13"/>
  <c r="C73" i="12"/>
  <c r="D73" i="12" s="1"/>
  <c r="E73" i="12" s="1"/>
  <c r="L50" i="12"/>
  <c r="D35" i="12"/>
  <c r="E35" i="12" s="1"/>
  <c r="F35" i="12" s="1"/>
  <c r="G35" i="12" s="1"/>
  <c r="H35" i="12" s="1"/>
  <c r="I35" i="12" s="1"/>
  <c r="J35" i="12" s="1"/>
  <c r="K35" i="12" s="1"/>
  <c r="L35" i="12" s="1"/>
  <c r="B29" i="12"/>
  <c r="B28" i="12"/>
  <c r="C33" i="12"/>
  <c r="C34" i="12" s="1"/>
  <c r="I89" i="11"/>
  <c r="E21" i="11"/>
  <c r="C41" i="15" l="1"/>
  <c r="B55" i="15"/>
  <c r="B56" i="15"/>
  <c r="E39" i="15"/>
  <c r="E41" i="15" s="1"/>
  <c r="F36" i="15"/>
  <c r="D41" i="15"/>
  <c r="E32" i="13"/>
  <c r="D33" i="13"/>
  <c r="D35" i="13" s="1"/>
  <c r="D37" i="13" s="1"/>
  <c r="B53" i="13"/>
  <c r="B56" i="13"/>
  <c r="I79" i="13"/>
  <c r="B79" i="13"/>
  <c r="A80" i="13"/>
  <c r="B55" i="13"/>
  <c r="C39" i="13"/>
  <c r="C40" i="13" s="1"/>
  <c r="C42" i="13" s="1"/>
  <c r="C50" i="13" s="1"/>
  <c r="D38" i="13"/>
  <c r="C37" i="12"/>
  <c r="C44" i="12" s="1"/>
  <c r="D33" i="12"/>
  <c r="E33" i="12" s="1"/>
  <c r="D34" i="12"/>
  <c r="E34" i="12" s="1"/>
  <c r="F34" i="12" s="1"/>
  <c r="G34" i="12" s="1"/>
  <c r="H34" i="12" s="1"/>
  <c r="I34" i="12" s="1"/>
  <c r="J34" i="12" s="1"/>
  <c r="K34" i="12" s="1"/>
  <c r="L34" i="12" s="1"/>
  <c r="B30" i="12"/>
  <c r="B54" i="12" s="1"/>
  <c r="B75" i="12"/>
  <c r="C75" i="12" s="1"/>
  <c r="D75" i="12" s="1"/>
  <c r="E75" i="12" s="1"/>
  <c r="E17" i="12"/>
  <c r="E37" i="12"/>
  <c r="E44" i="12" s="1"/>
  <c r="F73" i="12"/>
  <c r="D37" i="12"/>
  <c r="D44" i="12" s="1"/>
  <c r="C43" i="15" l="1"/>
  <c r="C44" i="15" s="1"/>
  <c r="C46" i="15" s="1"/>
  <c r="C54" i="15" s="1"/>
  <c r="D42" i="15"/>
  <c r="D43" i="15" s="1"/>
  <c r="D44" i="15" s="1"/>
  <c r="D46" i="15" s="1"/>
  <c r="D54" i="15" s="1"/>
  <c r="D55" i="15" s="1"/>
  <c r="G36" i="15"/>
  <c r="F39" i="15"/>
  <c r="F41" i="15" s="1"/>
  <c r="B57" i="15"/>
  <c r="E38" i="13"/>
  <c r="D39" i="13"/>
  <c r="D40" i="13" s="1"/>
  <c r="D42" i="13" s="1"/>
  <c r="D50" i="13" s="1"/>
  <c r="C51" i="13"/>
  <c r="C53" i="13" s="1"/>
  <c r="C54" i="13"/>
  <c r="C55" i="13" s="1"/>
  <c r="C52" i="13"/>
  <c r="B80" i="13"/>
  <c r="A81" i="13"/>
  <c r="I80" i="13"/>
  <c r="E33" i="13"/>
  <c r="E35" i="13" s="1"/>
  <c r="E37" i="13" s="1"/>
  <c r="F32" i="13"/>
  <c r="F75" i="12"/>
  <c r="E18" i="12"/>
  <c r="J65" i="12"/>
  <c r="K65" i="12"/>
  <c r="D65" i="12"/>
  <c r="E65" i="12"/>
  <c r="G65" i="12"/>
  <c r="F65" i="12"/>
  <c r="H65" i="12"/>
  <c r="I65" i="12"/>
  <c r="C36" i="12"/>
  <c r="C38" i="12" s="1"/>
  <c r="D36" i="12"/>
  <c r="D38" i="12" s="1"/>
  <c r="E20" i="12"/>
  <c r="K39" i="12" s="1"/>
  <c r="F37" i="12"/>
  <c r="F44" i="12" s="1"/>
  <c r="G73" i="12"/>
  <c r="F33" i="12"/>
  <c r="E36" i="12"/>
  <c r="E38" i="12" s="1"/>
  <c r="C55" i="15" l="1"/>
  <c r="C57" i="15" s="1"/>
  <c r="D57" i="15" s="1"/>
  <c r="C56" i="15"/>
  <c r="D56" i="15" s="1"/>
  <c r="H36" i="15"/>
  <c r="G39" i="15"/>
  <c r="G41" i="15" s="1"/>
  <c r="E42" i="15"/>
  <c r="F38" i="13"/>
  <c r="E39" i="13"/>
  <c r="E40" i="13" s="1"/>
  <c r="E42" i="13" s="1"/>
  <c r="E50" i="13" s="1"/>
  <c r="D51" i="13"/>
  <c r="D53" i="13" s="1"/>
  <c r="D54" i="13"/>
  <c r="F33" i="13"/>
  <c r="F35" i="13" s="1"/>
  <c r="F37" i="13" s="1"/>
  <c r="A82" i="13"/>
  <c r="I81" i="13"/>
  <c r="B81" i="13"/>
  <c r="C56" i="13"/>
  <c r="D52" i="13"/>
  <c r="G75" i="12"/>
  <c r="H18" i="12"/>
  <c r="B65" i="12" s="1"/>
  <c r="B66" i="12" s="1"/>
  <c r="J39" i="12"/>
  <c r="I39" i="12"/>
  <c r="F39" i="12"/>
  <c r="L65" i="12"/>
  <c r="C65" i="12"/>
  <c r="E39" i="12"/>
  <c r="E40" i="12" s="1"/>
  <c r="C39" i="12"/>
  <c r="C40" i="12" s="1"/>
  <c r="C42" i="12" s="1"/>
  <c r="G39" i="12"/>
  <c r="D39" i="12"/>
  <c r="D40" i="12" s="1"/>
  <c r="H39" i="12"/>
  <c r="L39" i="12"/>
  <c r="H73" i="12"/>
  <c r="G37" i="12"/>
  <c r="G44" i="12" s="1"/>
  <c r="G33" i="12"/>
  <c r="F36" i="12"/>
  <c r="F38" i="12" s="1"/>
  <c r="B68" i="12" l="1"/>
  <c r="I36" i="15"/>
  <c r="H39" i="15"/>
  <c r="H41" i="15" s="1"/>
  <c r="E43" i="15"/>
  <c r="E44" i="15" s="1"/>
  <c r="E46" i="15" s="1"/>
  <c r="E54" i="15" s="1"/>
  <c r="F42" i="15"/>
  <c r="D56" i="13"/>
  <c r="F39" i="13"/>
  <c r="F40" i="13" s="1"/>
  <c r="F42" i="13" s="1"/>
  <c r="F50" i="13" s="1"/>
  <c r="B60" i="13" s="1"/>
  <c r="E54" i="13"/>
  <c r="E55" i="13" s="1"/>
  <c r="E51" i="13"/>
  <c r="E53" i="13" s="1"/>
  <c r="B82" i="13"/>
  <c r="I82" i="13"/>
  <c r="A83" i="13"/>
  <c r="D55" i="13"/>
  <c r="E52" i="13"/>
  <c r="F40" i="12"/>
  <c r="H75" i="12"/>
  <c r="B55" i="12"/>
  <c r="B57" i="12" s="1"/>
  <c r="B56" i="12"/>
  <c r="D41" i="12"/>
  <c r="C43" i="12"/>
  <c r="C45" i="12" s="1"/>
  <c r="C54" i="12" s="1"/>
  <c r="C66" i="12" s="1"/>
  <c r="C68" i="12" s="1"/>
  <c r="C69" i="12" s="1"/>
  <c r="H33" i="12"/>
  <c r="G36" i="12"/>
  <c r="G38" i="12" s="1"/>
  <c r="G40" i="12" s="1"/>
  <c r="I73" i="12"/>
  <c r="H37" i="12"/>
  <c r="H44" i="12" s="1"/>
  <c r="D42" i="12" l="1"/>
  <c r="D43" i="12" s="1"/>
  <c r="D45" i="12" s="1"/>
  <c r="D54" i="12" s="1"/>
  <c r="F43" i="15"/>
  <c r="F44" i="15" s="1"/>
  <c r="F46" i="15" s="1"/>
  <c r="F54" i="15" s="1"/>
  <c r="F55" i="15" s="1"/>
  <c r="G42" i="15"/>
  <c r="E55" i="15"/>
  <c r="J36" i="15"/>
  <c r="I39" i="15"/>
  <c r="I41" i="15" s="1"/>
  <c r="E56" i="15"/>
  <c r="F54" i="13"/>
  <c r="F51" i="13"/>
  <c r="F53" i="13" s="1"/>
  <c r="B63" i="13" s="1"/>
  <c r="B61" i="13"/>
  <c r="I51" i="13"/>
  <c r="F52" i="13"/>
  <c r="B62" i="13"/>
  <c r="A84" i="13"/>
  <c r="B83" i="13"/>
  <c r="I83" i="13"/>
  <c r="E56" i="13"/>
  <c r="I75" i="12"/>
  <c r="E41" i="12"/>
  <c r="F41" i="12" s="1"/>
  <c r="G41" i="12" s="1"/>
  <c r="G42" i="12" s="1"/>
  <c r="G43" i="12" s="1"/>
  <c r="G45" i="12" s="1"/>
  <c r="G54" i="12" s="1"/>
  <c r="G66" i="12" s="1"/>
  <c r="G68" i="12" s="1"/>
  <c r="G69" i="12" s="1"/>
  <c r="C56" i="12"/>
  <c r="C55" i="12"/>
  <c r="C57" i="12" s="1"/>
  <c r="I33" i="12"/>
  <c r="H36" i="12"/>
  <c r="H38" i="12" s="1"/>
  <c r="H40" i="12" s="1"/>
  <c r="J73" i="12"/>
  <c r="I37" i="12"/>
  <c r="I44" i="12" s="1"/>
  <c r="D55" i="12" l="1"/>
  <c r="D66" i="12"/>
  <c r="D68" i="12" s="1"/>
  <c r="D69" i="12" s="1"/>
  <c r="D56" i="12"/>
  <c r="F56" i="15"/>
  <c r="E57" i="15"/>
  <c r="F57" i="15" s="1"/>
  <c r="H42" i="15"/>
  <c r="G43" i="15"/>
  <c r="G44" i="15" s="1"/>
  <c r="G46" i="15" s="1"/>
  <c r="G54" i="15" s="1"/>
  <c r="J39" i="15"/>
  <c r="J41" i="15" s="1"/>
  <c r="K36" i="15"/>
  <c r="B59" i="13"/>
  <c r="I53" i="13" s="1"/>
  <c r="F74" i="13"/>
  <c r="M74" i="13"/>
  <c r="G74" i="13"/>
  <c r="N74" i="13"/>
  <c r="D74" i="13"/>
  <c r="K74" i="13"/>
  <c r="F56" i="13"/>
  <c r="I52" i="13"/>
  <c r="L74" i="13"/>
  <c r="E74" i="13"/>
  <c r="A85" i="13"/>
  <c r="I84" i="13"/>
  <c r="B84" i="13"/>
  <c r="F55" i="13"/>
  <c r="H41" i="12"/>
  <c r="H42" i="12" s="1"/>
  <c r="H43" i="12" s="1"/>
  <c r="H45" i="12" s="1"/>
  <c r="H54" i="12" s="1"/>
  <c r="E42" i="12"/>
  <c r="E43" i="12" s="1"/>
  <c r="E45" i="12" s="1"/>
  <c r="E54" i="12" s="1"/>
  <c r="E55" i="12" s="1"/>
  <c r="F42" i="12"/>
  <c r="F43" i="12" s="1"/>
  <c r="F45" i="12" s="1"/>
  <c r="F54" i="12" s="1"/>
  <c r="F66" i="12" s="1"/>
  <c r="F68" i="12" s="1"/>
  <c r="F69" i="12" s="1"/>
  <c r="D57" i="12"/>
  <c r="G55" i="12"/>
  <c r="K73" i="12"/>
  <c r="J37" i="12"/>
  <c r="J44" i="12" s="1"/>
  <c r="I36" i="12"/>
  <c r="I38" i="12" s="1"/>
  <c r="I40" i="12" s="1"/>
  <c r="J33" i="12"/>
  <c r="J75" i="12"/>
  <c r="G56" i="15" l="1"/>
  <c r="I42" i="15"/>
  <c r="H43" i="15"/>
  <c r="H44" i="15" s="1"/>
  <c r="H46" i="15" s="1"/>
  <c r="H54" i="15" s="1"/>
  <c r="H55" i="15" s="1"/>
  <c r="K39" i="15"/>
  <c r="K41" i="15" s="1"/>
  <c r="L36" i="15"/>
  <c r="B5" i="15" s="1"/>
  <c r="G55" i="15"/>
  <c r="G57" i="15" s="1"/>
  <c r="C74" i="13"/>
  <c r="I55" i="13"/>
  <c r="J74" i="13"/>
  <c r="I85" i="13"/>
  <c r="B85" i="13"/>
  <c r="A86" i="13"/>
  <c r="I54" i="13"/>
  <c r="E56" i="12"/>
  <c r="F56" i="12" s="1"/>
  <c r="G56" i="12" s="1"/>
  <c r="H56" i="12" s="1"/>
  <c r="I41" i="12"/>
  <c r="J41" i="12" s="1"/>
  <c r="F55" i="12"/>
  <c r="E66" i="12"/>
  <c r="E68" i="12" s="1"/>
  <c r="E57" i="12"/>
  <c r="H55" i="12"/>
  <c r="H66" i="12"/>
  <c r="H68" i="12" s="1"/>
  <c r="H69" i="12" s="1"/>
  <c r="L73" i="12"/>
  <c r="L37" i="12" s="1"/>
  <c r="L44" i="12" s="1"/>
  <c r="K37" i="12"/>
  <c r="K44" i="12" s="1"/>
  <c r="J36" i="12"/>
  <c r="J38" i="12" s="1"/>
  <c r="J40" i="12" s="1"/>
  <c r="K33" i="12"/>
  <c r="K75" i="12"/>
  <c r="E69" i="12" l="1"/>
  <c r="H57" i="15"/>
  <c r="L39" i="15"/>
  <c r="L41" i="15" s="1"/>
  <c r="J42" i="15"/>
  <c r="I43" i="15"/>
  <c r="I44" i="15" s="1"/>
  <c r="I46" i="15" s="1"/>
  <c r="I54" i="15" s="1"/>
  <c r="H56" i="15"/>
  <c r="A87" i="13"/>
  <c r="I86" i="13"/>
  <c r="B86" i="13"/>
  <c r="F57" i="12"/>
  <c r="G57" i="12" s="1"/>
  <c r="H57" i="12" s="1"/>
  <c r="I42" i="12"/>
  <c r="I43" i="12" s="1"/>
  <c r="I45" i="12" s="1"/>
  <c r="I54" i="12" s="1"/>
  <c r="I55" i="12" s="1"/>
  <c r="L75" i="12"/>
  <c r="J42" i="12"/>
  <c r="J43" i="12" s="1"/>
  <c r="J45" i="12" s="1"/>
  <c r="J54" i="12" s="1"/>
  <c r="K41" i="12"/>
  <c r="K36" i="12"/>
  <c r="K38" i="12" s="1"/>
  <c r="K40" i="12" s="1"/>
  <c r="L33" i="12"/>
  <c r="B5" i="12" s="1"/>
  <c r="I56" i="15" l="1"/>
  <c r="K42" i="15"/>
  <c r="J43" i="15"/>
  <c r="J44" i="15" s="1"/>
  <c r="J46" i="15" s="1"/>
  <c r="J54" i="15" s="1"/>
  <c r="J55" i="15" s="1"/>
  <c r="L50" i="15"/>
  <c r="L49" i="15"/>
  <c r="I55" i="15"/>
  <c r="I57" i="15" s="1"/>
  <c r="I87" i="13"/>
  <c r="B87" i="13"/>
  <c r="A88" i="13"/>
  <c r="I57" i="12"/>
  <c r="I56" i="12"/>
  <c r="J56" i="12" s="1"/>
  <c r="I66" i="12"/>
  <c r="I68" i="12" s="1"/>
  <c r="J55" i="12"/>
  <c r="J66" i="12"/>
  <c r="J68" i="12" s="1"/>
  <c r="J69" i="12" s="1"/>
  <c r="L36" i="12"/>
  <c r="L38" i="12" s="1"/>
  <c r="L40" i="12" s="1"/>
  <c r="L41" i="12"/>
  <c r="K42" i="12"/>
  <c r="K43" i="12" s="1"/>
  <c r="K45" i="12" s="1"/>
  <c r="K54" i="12" s="1"/>
  <c r="K66" i="12" s="1"/>
  <c r="K68" i="12" s="1"/>
  <c r="K69" i="12" s="1"/>
  <c r="I69" i="12" l="1"/>
  <c r="L52" i="15"/>
  <c r="J57" i="15"/>
  <c r="J56" i="15"/>
  <c r="K43" i="15"/>
  <c r="K44" i="15" s="1"/>
  <c r="K46" i="15" s="1"/>
  <c r="K54" i="15" s="1"/>
  <c r="K55" i="15" s="1"/>
  <c r="L42" i="15"/>
  <c r="L43" i="15" s="1"/>
  <c r="L44" i="15" s="1"/>
  <c r="L46" i="15" s="1"/>
  <c r="I88" i="13"/>
  <c r="A89" i="13"/>
  <c r="B88" i="13"/>
  <c r="J57" i="12"/>
  <c r="K55" i="12"/>
  <c r="K56" i="12"/>
  <c r="L49" i="12"/>
  <c r="L48" i="12"/>
  <c r="L42" i="12"/>
  <c r="L43" i="12" s="1"/>
  <c r="L45" i="12" s="1"/>
  <c r="L54" i="15" l="1"/>
  <c r="L55" i="15" s="1"/>
  <c r="B59" i="15" s="1"/>
  <c r="K57" i="15"/>
  <c r="K56" i="15"/>
  <c r="A90" i="13"/>
  <c r="I89" i="13"/>
  <c r="B89" i="13"/>
  <c r="L51" i="12"/>
  <c r="L54" i="12" s="1"/>
  <c r="K57" i="12"/>
  <c r="B60" i="15" l="1"/>
  <c r="P73" i="15" s="1"/>
  <c r="I73" i="15"/>
  <c r="L73" i="15"/>
  <c r="O73" i="15"/>
  <c r="C73" i="15"/>
  <c r="F73" i="15"/>
  <c r="L56" i="15"/>
  <c r="B62" i="15" s="1"/>
  <c r="B61" i="15"/>
  <c r="L57" i="15"/>
  <c r="B63" i="15" s="1"/>
  <c r="B90" i="13"/>
  <c r="A91" i="13"/>
  <c r="I90" i="13"/>
  <c r="L66" i="12"/>
  <c r="L68" i="12" s="1"/>
  <c r="B70" i="12" s="1"/>
  <c r="L56" i="12"/>
  <c r="B62" i="12" s="1"/>
  <c r="B60" i="12"/>
  <c r="B61" i="12"/>
  <c r="L55" i="12"/>
  <c r="B59" i="12" s="1"/>
  <c r="G73" i="15" l="1"/>
  <c r="M73" i="15"/>
  <c r="J73" i="15"/>
  <c r="D73" i="15"/>
  <c r="A92" i="13"/>
  <c r="I91" i="13"/>
  <c r="B91" i="13"/>
  <c r="L69" i="12"/>
  <c r="L57" i="12"/>
  <c r="B63" i="12" s="1"/>
  <c r="A93" i="13" l="1"/>
  <c r="I92" i="13"/>
  <c r="B92" i="13"/>
  <c r="A90" i="11"/>
  <c r="B90" i="11" s="1"/>
  <c r="E64" i="11"/>
  <c r="B12" i="11"/>
  <c r="B11" i="11"/>
  <c r="B10" i="11"/>
  <c r="B9" i="11"/>
  <c r="B8" i="11"/>
  <c r="B7" i="11"/>
  <c r="F49" i="11" s="1"/>
  <c r="B5" i="11"/>
  <c r="F47" i="11" s="1"/>
  <c r="B4" i="11"/>
  <c r="B3" i="11"/>
  <c r="B20" i="11" l="1"/>
  <c r="B17" i="11"/>
  <c r="C32" i="11"/>
  <c r="C33" i="11" s="1"/>
  <c r="C35" i="11" s="1"/>
  <c r="C34" i="11"/>
  <c r="D34" i="11" s="1"/>
  <c r="E34" i="11" s="1"/>
  <c r="F34" i="11" s="1"/>
  <c r="I93" i="13"/>
  <c r="B93" i="13"/>
  <c r="A94" i="13"/>
  <c r="B27" i="11"/>
  <c r="B82" i="11"/>
  <c r="C82" i="11" s="1"/>
  <c r="D82" i="11" s="1"/>
  <c r="E82" i="11" s="1"/>
  <c r="F82" i="11" s="1"/>
  <c r="F48" i="11" s="1"/>
  <c r="F50" i="11" s="1"/>
  <c r="B28" i="11"/>
  <c r="I90" i="11"/>
  <c r="B26" i="11"/>
  <c r="A91" i="11"/>
  <c r="B91" i="11" s="1"/>
  <c r="B13" i="10"/>
  <c r="B9" i="10"/>
  <c r="F71" i="11" l="1"/>
  <c r="B71" i="11"/>
  <c r="B75" i="11"/>
  <c r="D32" i="11"/>
  <c r="E32" i="11" s="1"/>
  <c r="E17" i="11"/>
  <c r="C71" i="11" s="1"/>
  <c r="D71" i="11"/>
  <c r="E71" i="11"/>
  <c r="E38" i="11"/>
  <c r="A95" i="13"/>
  <c r="I94" i="13"/>
  <c r="B94" i="13"/>
  <c r="G82" i="11"/>
  <c r="H82" i="11" s="1"/>
  <c r="D38" i="11"/>
  <c r="A92" i="11"/>
  <c r="I91" i="11"/>
  <c r="F36" i="11"/>
  <c r="F43" i="11" s="1"/>
  <c r="F74" i="11" s="1"/>
  <c r="E36" i="11"/>
  <c r="E43" i="11" s="1"/>
  <c r="E74" i="11" s="1"/>
  <c r="D36" i="11"/>
  <c r="D43" i="11" s="1"/>
  <c r="D74" i="11" s="1"/>
  <c r="C36" i="11"/>
  <c r="C43" i="11" s="1"/>
  <c r="C74" i="11" s="1"/>
  <c r="B29" i="11"/>
  <c r="B55" i="11" s="1"/>
  <c r="B72" i="11" s="1"/>
  <c r="N25" i="10"/>
  <c r="N24" i="10"/>
  <c r="N26" i="10" s="1"/>
  <c r="I66" i="10"/>
  <c r="B66" i="10"/>
  <c r="A67" i="10"/>
  <c r="I67" i="10" s="1"/>
  <c r="C29" i="10"/>
  <c r="E50" i="10"/>
  <c r="B12" i="10"/>
  <c r="B11" i="10"/>
  <c r="C25" i="10" s="1"/>
  <c r="D25" i="10" s="1"/>
  <c r="E25" i="10" s="1"/>
  <c r="F25" i="10" s="1"/>
  <c r="B10" i="10"/>
  <c r="B8" i="10"/>
  <c r="B7" i="10"/>
  <c r="F38" i="10" s="1"/>
  <c r="B5" i="10"/>
  <c r="F36" i="10" s="1"/>
  <c r="B4" i="10"/>
  <c r="B18" i="10" s="1"/>
  <c r="B9" i="8"/>
  <c r="C24" i="8" s="1"/>
  <c r="D24" i="8" s="1"/>
  <c r="E24" i="8" s="1"/>
  <c r="F24" i="8" s="1"/>
  <c r="G24" i="8" s="1"/>
  <c r="H24" i="8" s="1"/>
  <c r="I24" i="8" s="1"/>
  <c r="J24" i="8" s="1"/>
  <c r="K24" i="8" s="1"/>
  <c r="L24" i="8" s="1"/>
  <c r="B5" i="8" s="1"/>
  <c r="C38" i="11" l="1"/>
  <c r="F38" i="11"/>
  <c r="D33" i="11"/>
  <c r="D35" i="11" s="1"/>
  <c r="D37" i="11" s="1"/>
  <c r="D39" i="11" s="1"/>
  <c r="N27" i="10"/>
  <c r="N28" i="10" s="1"/>
  <c r="I95" i="13"/>
  <c r="B95" i="13"/>
  <c r="C37" i="11"/>
  <c r="I92" i="11"/>
  <c r="A93" i="11"/>
  <c r="B92" i="11"/>
  <c r="E33" i="11"/>
  <c r="E35" i="11" s="1"/>
  <c r="F32" i="11"/>
  <c r="A68" i="10"/>
  <c r="B67" i="10"/>
  <c r="B19" i="10"/>
  <c r="B59" i="10"/>
  <c r="C59" i="10" s="1"/>
  <c r="D59" i="10" s="1"/>
  <c r="E59" i="10" s="1"/>
  <c r="F59" i="10" s="1"/>
  <c r="G59" i="10" s="1"/>
  <c r="H59" i="10" s="1"/>
  <c r="C23" i="10"/>
  <c r="D23" i="10" s="1"/>
  <c r="E23" i="10" s="1"/>
  <c r="E24" i="10" s="1"/>
  <c r="B17" i="10"/>
  <c r="C30" i="8"/>
  <c r="C39" i="11" l="1"/>
  <c r="D40" i="11" s="1"/>
  <c r="B59" i="11"/>
  <c r="B60" i="11" s="1"/>
  <c r="B56" i="11"/>
  <c r="B58" i="11" s="1"/>
  <c r="B57" i="11"/>
  <c r="C41" i="11"/>
  <c r="C42" i="11" s="1"/>
  <c r="C44" i="11" s="1"/>
  <c r="C55" i="11" s="1"/>
  <c r="E37" i="11"/>
  <c r="E39" i="11" s="1"/>
  <c r="F33" i="11"/>
  <c r="F35" i="11" s="1"/>
  <c r="B93" i="11"/>
  <c r="I93" i="11"/>
  <c r="A94" i="11"/>
  <c r="A69" i="10"/>
  <c r="B68" i="10"/>
  <c r="I68" i="10"/>
  <c r="D24" i="10"/>
  <c r="D26" i="10" s="1"/>
  <c r="C24" i="10"/>
  <c r="C26" i="10" s="1"/>
  <c r="C28" i="10" s="1"/>
  <c r="D29" i="10" s="1"/>
  <c r="B20" i="10"/>
  <c r="B41" i="10" s="1"/>
  <c r="B45" i="10" s="1"/>
  <c r="F37" i="10"/>
  <c r="F39" i="10" s="1"/>
  <c r="E27" i="10"/>
  <c r="E32" i="10" s="1"/>
  <c r="F27" i="10"/>
  <c r="F32" i="10" s="1"/>
  <c r="D27" i="10"/>
  <c r="D32" i="10" s="1"/>
  <c r="C27" i="10"/>
  <c r="C32" i="10" s="1"/>
  <c r="E26" i="10"/>
  <c r="F23" i="10"/>
  <c r="F24" i="10" s="1"/>
  <c r="E31" i="2"/>
  <c r="D41" i="11" l="1"/>
  <c r="D42" i="11" s="1"/>
  <c r="D44" i="11" s="1"/>
  <c r="D55" i="11" s="1"/>
  <c r="D72" i="11" s="1"/>
  <c r="D75" i="11" s="1"/>
  <c r="D76" i="11" s="1"/>
  <c r="E40" i="11"/>
  <c r="C72" i="11"/>
  <c r="C75" i="11" s="1"/>
  <c r="B61" i="11"/>
  <c r="C57" i="11"/>
  <c r="D57" i="11" s="1"/>
  <c r="C56" i="11"/>
  <c r="C58" i="11" s="1"/>
  <c r="C59" i="11"/>
  <c r="C60" i="11" s="1"/>
  <c r="D59" i="11"/>
  <c r="D60" i="11" s="1"/>
  <c r="E41" i="11"/>
  <c r="E42" i="11" s="1"/>
  <c r="E44" i="11" s="1"/>
  <c r="E55" i="11" s="1"/>
  <c r="E72" i="11" s="1"/>
  <c r="F37" i="11"/>
  <c r="F39" i="11" s="1"/>
  <c r="F40" i="11"/>
  <c r="D56" i="11"/>
  <c r="A95" i="11"/>
  <c r="I94" i="11"/>
  <c r="B94" i="11"/>
  <c r="B42" i="10"/>
  <c r="B44" i="10" s="1"/>
  <c r="A70" i="10"/>
  <c r="B69" i="10"/>
  <c r="I69" i="10"/>
  <c r="B43" i="10"/>
  <c r="E28" i="10"/>
  <c r="D28" i="10"/>
  <c r="D30" i="10" s="1"/>
  <c r="F26" i="10"/>
  <c r="F28" i="10" s="1"/>
  <c r="E30" i="2"/>
  <c r="E11" i="2"/>
  <c r="B16" i="2"/>
  <c r="C26" i="8"/>
  <c r="D26" i="8" s="1"/>
  <c r="E26" i="8" s="1"/>
  <c r="F26" i="8" s="1"/>
  <c r="G26" i="8" s="1"/>
  <c r="H26" i="8" s="1"/>
  <c r="I26" i="8" s="1"/>
  <c r="J26" i="8" s="1"/>
  <c r="K26" i="8" s="1"/>
  <c r="L26" i="8" s="1"/>
  <c r="C76" i="11" l="1"/>
  <c r="B46" i="10"/>
  <c r="B47" i="10"/>
  <c r="E75" i="11"/>
  <c r="E76" i="11" s="1"/>
  <c r="C61" i="11"/>
  <c r="D61" i="11"/>
  <c r="E56" i="11"/>
  <c r="E59" i="11"/>
  <c r="E60" i="11" s="1"/>
  <c r="F41" i="11"/>
  <c r="F42" i="11" s="1"/>
  <c r="F44" i="11" s="1"/>
  <c r="F55" i="11" s="1"/>
  <c r="F72" i="11" s="1"/>
  <c r="D58" i="11"/>
  <c r="E57" i="11"/>
  <c r="I95" i="11"/>
  <c r="A96" i="11"/>
  <c r="B95" i="11"/>
  <c r="A71" i="10"/>
  <c r="B70" i="10"/>
  <c r="I70" i="10"/>
  <c r="C30" i="10"/>
  <c r="C31" i="10" s="1"/>
  <c r="C33" i="10" s="1"/>
  <c r="D31" i="10"/>
  <c r="D33" i="10" s="1"/>
  <c r="D41" i="10" s="1"/>
  <c r="C25" i="8"/>
  <c r="D25" i="8" s="1"/>
  <c r="E25" i="8" s="1"/>
  <c r="F25" i="8" s="1"/>
  <c r="G25" i="8" s="1"/>
  <c r="H25" i="8" s="1"/>
  <c r="I25" i="8" s="1"/>
  <c r="J25" i="8" s="1"/>
  <c r="K25" i="8" s="1"/>
  <c r="L25" i="8" s="1"/>
  <c r="B48" i="10" l="1"/>
  <c r="F75" i="11"/>
  <c r="F76" i="11" s="1"/>
  <c r="B65" i="11"/>
  <c r="E58" i="11"/>
  <c r="I56" i="11"/>
  <c r="B66" i="11"/>
  <c r="E88" i="11" s="1"/>
  <c r="E61" i="11"/>
  <c r="F57" i="11"/>
  <c r="B67" i="11" s="1"/>
  <c r="F59" i="11"/>
  <c r="F60" i="11" s="1"/>
  <c r="F56" i="11"/>
  <c r="B64" i="11" s="1"/>
  <c r="I96" i="11"/>
  <c r="B96" i="11"/>
  <c r="A97" i="11"/>
  <c r="D42" i="10"/>
  <c r="D45" i="10"/>
  <c r="C41" i="10"/>
  <c r="A72" i="10"/>
  <c r="I71" i="10"/>
  <c r="B71" i="10"/>
  <c r="E29" i="10"/>
  <c r="E30" i="10" s="1"/>
  <c r="E31" i="10" s="1"/>
  <c r="E33" i="10" s="1"/>
  <c r="E41" i="10" s="1"/>
  <c r="E45" i="10" s="1"/>
  <c r="B18" i="8"/>
  <c r="C54" i="8"/>
  <c r="L39" i="8"/>
  <c r="B20" i="8"/>
  <c r="B19" i="8"/>
  <c r="B60" i="7"/>
  <c r="C60" i="7" s="1"/>
  <c r="D60" i="7" s="1"/>
  <c r="E60" i="7" s="1"/>
  <c r="F60" i="7" s="1"/>
  <c r="G60" i="7" s="1"/>
  <c r="G42" i="7" s="1"/>
  <c r="G43" i="7"/>
  <c r="G41" i="7"/>
  <c r="G39" i="7"/>
  <c r="C35" i="7"/>
  <c r="G31" i="7"/>
  <c r="G35" i="7" s="1"/>
  <c r="F31" i="7"/>
  <c r="F35" i="7" s="1"/>
  <c r="E31" i="7"/>
  <c r="E35" i="7" s="1"/>
  <c r="D31" i="7"/>
  <c r="D35" i="7" s="1"/>
  <c r="C31" i="7"/>
  <c r="B25" i="7"/>
  <c r="B24" i="7"/>
  <c r="B23" i="7"/>
  <c r="B22" i="7"/>
  <c r="B16" i="7"/>
  <c r="C30" i="7" s="1"/>
  <c r="D30" i="7" s="1"/>
  <c r="E30" i="7" s="1"/>
  <c r="F30" i="7" s="1"/>
  <c r="G30" i="7" s="1"/>
  <c r="B7" i="7"/>
  <c r="B26" i="7" s="1"/>
  <c r="C24" i="6"/>
  <c r="D24" i="6" s="1"/>
  <c r="E24" i="6" s="1"/>
  <c r="F24" i="6" s="1"/>
  <c r="C22" i="6"/>
  <c r="B53" i="6"/>
  <c r="C53" i="6" s="1"/>
  <c r="D53" i="6" s="1"/>
  <c r="E53" i="6" s="1"/>
  <c r="F53" i="6" s="1"/>
  <c r="F36" i="6"/>
  <c r="F34" i="6"/>
  <c r="B18" i="6"/>
  <c r="B17" i="6"/>
  <c r="B16" i="6"/>
  <c r="G41" i="5"/>
  <c r="E33" i="5"/>
  <c r="E37" i="5" s="1"/>
  <c r="G33" i="5"/>
  <c r="G37" i="5" s="1"/>
  <c r="B16" i="5"/>
  <c r="D32" i="5" s="1"/>
  <c r="D34" i="5" s="1"/>
  <c r="D35" i="5" s="1"/>
  <c r="B62" i="5"/>
  <c r="B26" i="5"/>
  <c r="B25" i="5"/>
  <c r="F36" i="4"/>
  <c r="B53" i="4"/>
  <c r="C53" i="4" s="1"/>
  <c r="D53" i="4" s="1"/>
  <c r="E53" i="4" s="1"/>
  <c r="F53" i="4" s="1"/>
  <c r="F35" i="4" s="1"/>
  <c r="F37" i="4" s="1"/>
  <c r="B18" i="4"/>
  <c r="B17" i="4"/>
  <c r="B16" i="4"/>
  <c r="B19" i="4" s="1"/>
  <c r="C45" i="10" l="1"/>
  <c r="B77" i="11"/>
  <c r="F88" i="11"/>
  <c r="M88" i="11"/>
  <c r="E26" i="6"/>
  <c r="E30" i="6" s="1"/>
  <c r="B29" i="5"/>
  <c r="D22" i="6"/>
  <c r="D23" i="6" s="1"/>
  <c r="C23" i="6"/>
  <c r="C25" i="6" s="1"/>
  <c r="C32" i="7"/>
  <c r="C32" i="5"/>
  <c r="C34" i="5" s="1"/>
  <c r="L88" i="11"/>
  <c r="D88" i="11"/>
  <c r="C88" i="11"/>
  <c r="J88" i="11"/>
  <c r="I58" i="11"/>
  <c r="I57" i="11"/>
  <c r="I59" i="11" s="1"/>
  <c r="F58" i="11"/>
  <c r="B68" i="11" s="1"/>
  <c r="G88" i="11" s="1"/>
  <c r="F61" i="11"/>
  <c r="K88" i="11"/>
  <c r="A98" i="11"/>
  <c r="I97" i="11"/>
  <c r="B97" i="11"/>
  <c r="D47" i="10"/>
  <c r="D46" i="10"/>
  <c r="E42" i="10"/>
  <c r="C42" i="10"/>
  <c r="C43" i="10"/>
  <c r="D43" i="10" s="1"/>
  <c r="E43" i="10" s="1"/>
  <c r="A73" i="10"/>
  <c r="I72" i="10"/>
  <c r="B72" i="10"/>
  <c r="F29" i="10"/>
  <c r="F30" i="10" s="1"/>
  <c r="F31" i="10" s="1"/>
  <c r="F33" i="10" s="1"/>
  <c r="F41" i="10" s="1"/>
  <c r="I42" i="10" s="1"/>
  <c r="D54" i="8"/>
  <c r="E54" i="8" s="1"/>
  <c r="F54" i="8" s="1"/>
  <c r="G54" i="8" s="1"/>
  <c r="H54" i="8" s="1"/>
  <c r="I54" i="8" s="1"/>
  <c r="J54" i="8" s="1"/>
  <c r="K54" i="8" s="1"/>
  <c r="L54" i="8" s="1"/>
  <c r="L28" i="8" s="1"/>
  <c r="L33" i="8" s="1"/>
  <c r="B56" i="8"/>
  <c r="C56" i="8" s="1"/>
  <c r="B21" i="8"/>
  <c r="B42" i="8" s="1"/>
  <c r="C28" i="8"/>
  <c r="C33" i="8" s="1"/>
  <c r="B27" i="7"/>
  <c r="B46" i="7" s="1"/>
  <c r="C33" i="7"/>
  <c r="C34" i="7" s="1"/>
  <c r="C36" i="7" s="1"/>
  <c r="C46" i="7" s="1"/>
  <c r="C47" i="7" s="1"/>
  <c r="D32" i="7"/>
  <c r="E32" i="7"/>
  <c r="F32" i="7"/>
  <c r="G32" i="7"/>
  <c r="G40" i="7"/>
  <c r="G44" i="7" s="1"/>
  <c r="G53" i="6"/>
  <c r="H53" i="6" s="1"/>
  <c r="F35" i="6"/>
  <c r="F37" i="6" s="1"/>
  <c r="F26" i="6"/>
  <c r="F30" i="6" s="1"/>
  <c r="C26" i="6"/>
  <c r="C30" i="6" s="1"/>
  <c r="D26" i="6"/>
  <c r="D30" i="6" s="1"/>
  <c r="B19" i="6"/>
  <c r="B39" i="6" s="1"/>
  <c r="C62" i="5"/>
  <c r="D62" i="5" s="1"/>
  <c r="E62" i="5" s="1"/>
  <c r="F62" i="5" s="1"/>
  <c r="G62" i="5" s="1"/>
  <c r="G44" i="5" s="1"/>
  <c r="G46" i="5" s="1"/>
  <c r="G32" i="5"/>
  <c r="G34" i="5" s="1"/>
  <c r="F32" i="5"/>
  <c r="F34" i="5" s="1"/>
  <c r="E32" i="5"/>
  <c r="E34" i="5" s="1"/>
  <c r="E35" i="5" s="1"/>
  <c r="B48" i="5"/>
  <c r="G53" i="4"/>
  <c r="H53" i="4" s="1"/>
  <c r="C44" i="10" l="1"/>
  <c r="D44" i="10" s="1"/>
  <c r="C47" i="10"/>
  <c r="D48" i="10"/>
  <c r="C46" i="10"/>
  <c r="C48" i="10" s="1"/>
  <c r="E22" i="6"/>
  <c r="E23" i="6" s="1"/>
  <c r="C35" i="5"/>
  <c r="C36" i="5" s="1"/>
  <c r="E47" i="10"/>
  <c r="E44" i="10"/>
  <c r="I60" i="11"/>
  <c r="N88" i="11"/>
  <c r="I98" i="11"/>
  <c r="B98" i="11"/>
  <c r="A99" i="11"/>
  <c r="E46" i="10"/>
  <c r="F42" i="10"/>
  <c r="B50" i="10" s="1"/>
  <c r="I44" i="10" s="1"/>
  <c r="F45" i="10"/>
  <c r="I43" i="10" s="1"/>
  <c r="A74" i="10"/>
  <c r="I73" i="10"/>
  <c r="B73" i="10"/>
  <c r="B51" i="10"/>
  <c r="B52" i="10"/>
  <c r="F43" i="10"/>
  <c r="B53" i="10" s="1"/>
  <c r="J28" i="8"/>
  <c r="J33" i="8" s="1"/>
  <c r="I28" i="8"/>
  <c r="I33" i="8" s="1"/>
  <c r="G27" i="8"/>
  <c r="H28" i="8"/>
  <c r="H33" i="8" s="1"/>
  <c r="K28" i="8"/>
  <c r="K33" i="8" s="1"/>
  <c r="G28" i="8"/>
  <c r="G33" i="8" s="1"/>
  <c r="D56" i="8"/>
  <c r="E56" i="8" s="1"/>
  <c r="F56" i="8" s="1"/>
  <c r="G56" i="8" s="1"/>
  <c r="H56" i="8" s="1"/>
  <c r="I56" i="8" s="1"/>
  <c r="J56" i="8" s="1"/>
  <c r="K56" i="8" s="1"/>
  <c r="L56" i="8" s="1"/>
  <c r="F28" i="8"/>
  <c r="F33" i="8" s="1"/>
  <c r="D28" i="8"/>
  <c r="D33" i="8" s="1"/>
  <c r="B44" i="8"/>
  <c r="B43" i="8"/>
  <c r="E28" i="8"/>
  <c r="E33" i="8" s="1"/>
  <c r="C27" i="8"/>
  <c r="C29" i="8" s="1"/>
  <c r="D27" i="8"/>
  <c r="E27" i="8"/>
  <c r="F22" i="6"/>
  <c r="F23" i="6" s="1"/>
  <c r="G33" i="7"/>
  <c r="G34" i="7" s="1"/>
  <c r="G36" i="7" s="1"/>
  <c r="G46" i="7" s="1"/>
  <c r="G47" i="7" s="1"/>
  <c r="B47" i="7"/>
  <c r="B48" i="7"/>
  <c r="C48" i="7" s="1"/>
  <c r="F33" i="7"/>
  <c r="F34" i="7" s="1"/>
  <c r="F36" i="7" s="1"/>
  <c r="F46" i="7" s="1"/>
  <c r="F47" i="7" s="1"/>
  <c r="D33" i="7"/>
  <c r="D34" i="7" s="1"/>
  <c r="D36" i="7" s="1"/>
  <c r="D46" i="7" s="1"/>
  <c r="D47" i="7" s="1"/>
  <c r="E33" i="7"/>
  <c r="E34" i="7" s="1"/>
  <c r="E36" i="7" s="1"/>
  <c r="E46" i="7" s="1"/>
  <c r="E47" i="7" s="1"/>
  <c r="D25" i="6"/>
  <c r="D27" i="6" s="1"/>
  <c r="D28" i="6" s="1"/>
  <c r="D29" i="6" s="1"/>
  <c r="D31" i="6" s="1"/>
  <c r="D39" i="6" s="1"/>
  <c r="D40" i="6" s="1"/>
  <c r="E25" i="6"/>
  <c r="E27" i="6" s="1"/>
  <c r="E28" i="6" s="1"/>
  <c r="E29" i="6" s="1"/>
  <c r="E31" i="6" s="1"/>
  <c r="E39" i="6" s="1"/>
  <c r="E40" i="6" s="1"/>
  <c r="B40" i="6"/>
  <c r="B41" i="6"/>
  <c r="C27" i="6"/>
  <c r="F35" i="5"/>
  <c r="F36" i="5" s="1"/>
  <c r="F38" i="5" s="1"/>
  <c r="F48" i="5" s="1"/>
  <c r="F49" i="5" s="1"/>
  <c r="D36" i="5"/>
  <c r="B49" i="5"/>
  <c r="B50" i="5"/>
  <c r="E48" i="10" l="1"/>
  <c r="C138" i="10"/>
  <c r="C65" i="10"/>
  <c r="C123" i="10"/>
  <c r="C108" i="10"/>
  <c r="D29" i="8"/>
  <c r="B53" i="7"/>
  <c r="A100" i="11"/>
  <c r="B99" i="11"/>
  <c r="I99" i="11"/>
  <c r="F47" i="10"/>
  <c r="I45" i="10"/>
  <c r="F44" i="10"/>
  <c r="B54" i="10" s="1"/>
  <c r="G65" i="10" s="1"/>
  <c r="F46" i="10"/>
  <c r="F48" i="10" s="1"/>
  <c r="J65" i="10"/>
  <c r="A75" i="10"/>
  <c r="B74" i="10"/>
  <c r="I74" i="10"/>
  <c r="F65" i="10"/>
  <c r="M65" i="10"/>
  <c r="D65" i="10"/>
  <c r="K65" i="10"/>
  <c r="E65" i="10"/>
  <c r="L65" i="10"/>
  <c r="D30" i="8"/>
  <c r="C31" i="8"/>
  <c r="C32" i="8" s="1"/>
  <c r="C34" i="8" s="1"/>
  <c r="C42" i="8" s="1"/>
  <c r="G29" i="8"/>
  <c r="H27" i="8"/>
  <c r="H29" i="8" s="1"/>
  <c r="F27" i="8"/>
  <c r="F29" i="8" s="1"/>
  <c r="E29" i="8"/>
  <c r="B45" i="8"/>
  <c r="F25" i="6"/>
  <c r="F27" i="6" s="1"/>
  <c r="F28" i="6" s="1"/>
  <c r="F29" i="6" s="1"/>
  <c r="F31" i="6" s="1"/>
  <c r="F39" i="6" s="1"/>
  <c r="F40" i="6" s="1"/>
  <c r="D48" i="7"/>
  <c r="B51" i="7"/>
  <c r="B49" i="7"/>
  <c r="C49" i="7" s="1"/>
  <c r="D49" i="7" s="1"/>
  <c r="B52" i="7"/>
  <c r="B42" i="6"/>
  <c r="C28" i="6"/>
  <c r="C29" i="6" s="1"/>
  <c r="C31" i="6" s="1"/>
  <c r="C39" i="6" s="1"/>
  <c r="D38" i="5"/>
  <c r="D48" i="5" s="1"/>
  <c r="G35" i="5"/>
  <c r="G36" i="5" s="1"/>
  <c r="G38" i="5" s="1"/>
  <c r="C38" i="5"/>
  <c r="C48" i="5" s="1"/>
  <c r="B51" i="5"/>
  <c r="E36" i="5"/>
  <c r="E38" i="5" s="1"/>
  <c r="E48" i="5" s="1"/>
  <c r="E49" i="5" s="1"/>
  <c r="G48" i="5" l="1"/>
  <c r="G49" i="5" s="1"/>
  <c r="I46" i="10"/>
  <c r="D49" i="5"/>
  <c r="B55" i="5"/>
  <c r="A101" i="11"/>
  <c r="B100" i="11"/>
  <c r="I100" i="11"/>
  <c r="N65" i="10"/>
  <c r="A76" i="10"/>
  <c r="I75" i="10"/>
  <c r="B75" i="10"/>
  <c r="B46" i="6"/>
  <c r="D31" i="8"/>
  <c r="D32" i="8" s="1"/>
  <c r="D34" i="8" s="1"/>
  <c r="D42" i="8" s="1"/>
  <c r="D43" i="8" s="1"/>
  <c r="E30" i="8"/>
  <c r="F30" i="8" s="1"/>
  <c r="I27" i="8"/>
  <c r="I29" i="8" s="1"/>
  <c r="C43" i="8"/>
  <c r="C44" i="8"/>
  <c r="B45" i="6"/>
  <c r="E48" i="7"/>
  <c r="F48" i="7" s="1"/>
  <c r="G48" i="7" s="1"/>
  <c r="E49" i="7"/>
  <c r="F49" i="7" s="1"/>
  <c r="G49" i="7" s="1"/>
  <c r="C40" i="6"/>
  <c r="B44" i="6" s="1"/>
  <c r="C41" i="6"/>
  <c r="D41" i="6" s="1"/>
  <c r="C49" i="5"/>
  <c r="B54" i="5"/>
  <c r="C50" i="5"/>
  <c r="D50" i="5" s="1"/>
  <c r="B55" i="7" l="1"/>
  <c r="B53" i="5"/>
  <c r="A102" i="11"/>
  <c r="I101" i="11"/>
  <c r="B101" i="11"/>
  <c r="A77" i="10"/>
  <c r="B76" i="10"/>
  <c r="I76" i="10"/>
  <c r="G30" i="8"/>
  <c r="G31" i="8" s="1"/>
  <c r="G32" i="8" s="1"/>
  <c r="G34" i="8" s="1"/>
  <c r="G42" i="8" s="1"/>
  <c r="G43" i="8" s="1"/>
  <c r="F31" i="8"/>
  <c r="F32" i="8" s="1"/>
  <c r="F34" i="8" s="1"/>
  <c r="F42" i="8" s="1"/>
  <c r="F43" i="8" s="1"/>
  <c r="E31" i="8"/>
  <c r="E32" i="8" s="1"/>
  <c r="E34" i="8" s="1"/>
  <c r="E42" i="8" s="1"/>
  <c r="E43" i="8" s="1"/>
  <c r="D44" i="8"/>
  <c r="J27" i="8"/>
  <c r="J29" i="8" s="1"/>
  <c r="C45" i="8"/>
  <c r="D45" i="8" s="1"/>
  <c r="B54" i="7"/>
  <c r="B47" i="6"/>
  <c r="C42" i="6"/>
  <c r="D42" i="6" s="1"/>
  <c r="E41" i="6"/>
  <c r="F41" i="6" s="1"/>
  <c r="C51" i="5"/>
  <c r="D51" i="5" s="1"/>
  <c r="E50" i="5"/>
  <c r="F50" i="5" s="1"/>
  <c r="G50" i="5" s="1"/>
  <c r="B56" i="5" l="1"/>
  <c r="A103" i="11"/>
  <c r="I102" i="11"/>
  <c r="B102" i="11"/>
  <c r="A78" i="10"/>
  <c r="B77" i="10"/>
  <c r="I77" i="10"/>
  <c r="H30" i="8"/>
  <c r="I30" i="8" s="1"/>
  <c r="E44" i="8"/>
  <c r="F44" i="8" s="1"/>
  <c r="G44" i="8" s="1"/>
  <c r="K27" i="8"/>
  <c r="K29" i="8" s="1"/>
  <c r="E45" i="8"/>
  <c r="F45" i="8" s="1"/>
  <c r="G45" i="8" s="1"/>
  <c r="E42" i="6"/>
  <c r="F42" i="6" s="1"/>
  <c r="E51" i="5"/>
  <c r="F51" i="5" s="1"/>
  <c r="G51" i="5" s="1"/>
  <c r="B57" i="5" l="1"/>
  <c r="A104" i="11"/>
  <c r="B103" i="11"/>
  <c r="I103" i="11"/>
  <c r="A79" i="10"/>
  <c r="B78" i="10"/>
  <c r="I78" i="10"/>
  <c r="H31" i="8"/>
  <c r="H32" i="8" s="1"/>
  <c r="H34" i="8" s="1"/>
  <c r="H42" i="8" s="1"/>
  <c r="H43" i="8" s="1"/>
  <c r="H45" i="8" s="1"/>
  <c r="I31" i="8"/>
  <c r="I32" i="8" s="1"/>
  <c r="I34" i="8" s="1"/>
  <c r="I42" i="8" s="1"/>
  <c r="I43" i="8" s="1"/>
  <c r="J30" i="8"/>
  <c r="L27" i="8"/>
  <c r="L29" i="8" s="1"/>
  <c r="B48" i="6"/>
  <c r="B104" i="11" l="1"/>
  <c r="A105" i="11"/>
  <c r="I104" i="11"/>
  <c r="A80" i="10"/>
  <c r="I79" i="10"/>
  <c r="B79" i="10"/>
  <c r="H44" i="8"/>
  <c r="I44" i="8" s="1"/>
  <c r="I45" i="8"/>
  <c r="J31" i="8"/>
  <c r="J32" i="8" s="1"/>
  <c r="J34" i="8" s="1"/>
  <c r="J42" i="8" s="1"/>
  <c r="J43" i="8" s="1"/>
  <c r="K30" i="8"/>
  <c r="L38" i="8"/>
  <c r="L37" i="8"/>
  <c r="A106" i="11" l="1"/>
  <c r="I105" i="11"/>
  <c r="B105" i="11"/>
  <c r="A81" i="10"/>
  <c r="I80" i="10"/>
  <c r="B80" i="10"/>
  <c r="J45" i="8"/>
  <c r="L30" i="8"/>
  <c r="L31" i="8" s="1"/>
  <c r="L32" i="8" s="1"/>
  <c r="L34" i="8" s="1"/>
  <c r="K31" i="8"/>
  <c r="K32" i="8" s="1"/>
  <c r="K34" i="8" s="1"/>
  <c r="K42" i="8" s="1"/>
  <c r="K43" i="8" s="1"/>
  <c r="J44" i="8"/>
  <c r="L40" i="8"/>
  <c r="I106" i="11" l="1"/>
  <c r="B106" i="11"/>
  <c r="A107" i="11"/>
  <c r="A82" i="10"/>
  <c r="I81" i="10"/>
  <c r="B81" i="10"/>
  <c r="K45" i="8"/>
  <c r="K44" i="8"/>
  <c r="L42" i="8"/>
  <c r="B49" i="8" s="1"/>
  <c r="A108" i="11" l="1"/>
  <c r="B107" i="11"/>
  <c r="I107" i="11"/>
  <c r="B82" i="10"/>
  <c r="I82" i="10"/>
  <c r="A83" i="10"/>
  <c r="L44" i="8"/>
  <c r="B50" i="8" s="1"/>
  <c r="B48" i="8"/>
  <c r="L43" i="8"/>
  <c r="L45" i="8" s="1"/>
  <c r="B51" i="8" s="1"/>
  <c r="A109" i="11" l="1"/>
  <c r="B108" i="11"/>
  <c r="I108" i="11"/>
  <c r="A84" i="10"/>
  <c r="I83" i="10"/>
  <c r="B83" i="10"/>
  <c r="B47" i="8"/>
  <c r="I109" i="11" l="1"/>
  <c r="B109" i="11"/>
  <c r="A85" i="10"/>
  <c r="I84" i="10"/>
  <c r="B84" i="10"/>
  <c r="D26" i="4"/>
  <c r="D30" i="4" s="1"/>
  <c r="E26" i="4"/>
  <c r="E30" i="4" s="1"/>
  <c r="F26" i="4"/>
  <c r="F30" i="4" s="1"/>
  <c r="C26" i="4"/>
  <c r="C30" i="4" s="1"/>
  <c r="C24" i="4"/>
  <c r="D24" i="4" s="1"/>
  <c r="E24" i="4" s="1"/>
  <c r="F24" i="4" s="1"/>
  <c r="C22" i="4"/>
  <c r="B39" i="4"/>
  <c r="D22" i="4" l="1"/>
  <c r="C23" i="4"/>
  <c r="B85" i="10"/>
  <c r="I85" i="10"/>
  <c r="A86" i="10"/>
  <c r="C25" i="4"/>
  <c r="B41" i="4"/>
  <c r="B40" i="4"/>
  <c r="E10" i="2"/>
  <c r="C27" i="4" l="1"/>
  <c r="C28" i="4" s="1"/>
  <c r="C29" i="4" s="1"/>
  <c r="C31" i="4" s="1"/>
  <c r="C39" i="4" s="1"/>
  <c r="E22" i="4"/>
  <c r="D23" i="4"/>
  <c r="B86" i="10"/>
  <c r="I86" i="10"/>
  <c r="B42" i="4"/>
  <c r="B23" i="2"/>
  <c r="C23" i="2" s="1"/>
  <c r="D23" i="2" s="1"/>
  <c r="B7" i="2"/>
  <c r="C7" i="2" s="1"/>
  <c r="D7" i="2" s="1"/>
  <c r="E7" i="2" l="1"/>
  <c r="L6" i="2" s="1"/>
  <c r="L10" i="2"/>
  <c r="L9" i="2"/>
  <c r="L8" i="2"/>
  <c r="L12" i="2" s="1"/>
  <c r="F22" i="4"/>
  <c r="E23" i="4"/>
  <c r="E25" i="4" s="1"/>
  <c r="E27" i="4" s="1"/>
  <c r="E28" i="4" s="1"/>
  <c r="E29" i="4" s="1"/>
  <c r="E31" i="4" s="1"/>
  <c r="E39" i="4" s="1"/>
  <c r="E40" i="4" s="1"/>
  <c r="C41" i="4"/>
  <c r="E23" i="2"/>
  <c r="F23" i="2" s="1"/>
  <c r="D25" i="4"/>
  <c r="D27" i="4" s="1"/>
  <c r="D28" i="4" s="1"/>
  <c r="D29" i="4" s="1"/>
  <c r="D31" i="4" s="1"/>
  <c r="D39" i="4" s="1"/>
  <c r="D40" i="4" s="1"/>
  <c r="C40" i="4"/>
  <c r="A37" i="2"/>
  <c r="A38" i="2" s="1"/>
  <c r="A39" i="2" s="1"/>
  <c r="A40" i="2" s="1"/>
  <c r="A41" i="2" s="1"/>
  <c r="A42" i="2" s="1"/>
  <c r="A43" i="2" s="1"/>
  <c r="C36" i="2"/>
  <c r="C24" i="2"/>
  <c r="L17" i="2" l="1"/>
  <c r="F7" i="2"/>
  <c r="A44" i="2"/>
  <c r="A45" i="2" s="1"/>
  <c r="A46" i="2" s="1"/>
  <c r="A47" i="2" s="1"/>
  <c r="A48" i="2" s="1"/>
  <c r="A49" i="2" s="1"/>
  <c r="A50" i="2" s="1"/>
  <c r="A51" i="2" s="1"/>
  <c r="A52" i="2" s="1"/>
  <c r="A53" i="2" s="1"/>
  <c r="A54" i="2" s="1"/>
  <c r="A55" i="2" s="1"/>
  <c r="A56" i="2" s="1"/>
  <c r="A57" i="2" s="1"/>
  <c r="A58" i="2" s="1"/>
  <c r="A59" i="2" s="1"/>
  <c r="A60" i="2" s="1"/>
  <c r="C43" i="2"/>
  <c r="B43" i="2"/>
  <c r="F23" i="4"/>
  <c r="F25" i="4" s="1"/>
  <c r="C42" i="4"/>
  <c r="D42" i="4" s="1"/>
  <c r="D41" i="4"/>
  <c r="C37" i="2"/>
  <c r="C38" i="2"/>
  <c r="D24" i="2"/>
  <c r="E24" i="2"/>
  <c r="F24" i="2"/>
  <c r="B25" i="2"/>
  <c r="C25" i="2" s="1"/>
  <c r="E8" i="2"/>
  <c r="F8" i="2"/>
  <c r="H6" i="2" l="1"/>
  <c r="B26" i="2"/>
  <c r="H5" i="2"/>
  <c r="B10" i="2"/>
  <c r="D9" i="2"/>
  <c r="F27" i="4"/>
  <c r="F28" i="4" s="1"/>
  <c r="B39" i="2"/>
  <c r="E41" i="4"/>
  <c r="E42" i="4"/>
  <c r="B37" i="2"/>
  <c r="D25" i="2"/>
  <c r="B40" i="2"/>
  <c r="B42" i="2"/>
  <c r="B38" i="2"/>
  <c r="C42" i="2"/>
  <c r="C39" i="2"/>
  <c r="C40" i="2"/>
  <c r="C41" i="2"/>
  <c r="B41" i="2"/>
  <c r="E9" i="2" l="1"/>
  <c r="F29" i="4"/>
  <c r="F31" i="4" s="1"/>
  <c r="F39" i="4" s="1"/>
  <c r="E25" i="2"/>
  <c r="F25" i="2" s="1"/>
  <c r="C44" i="2"/>
  <c r="B44" i="2"/>
  <c r="F40" i="4" l="1"/>
  <c r="B46" i="4"/>
  <c r="F9" i="2"/>
  <c r="O6" i="2" s="1"/>
  <c r="B45" i="4"/>
  <c r="F41" i="4"/>
  <c r="B47" i="4" s="1"/>
  <c r="O17" i="2"/>
  <c r="B45" i="2"/>
  <c r="C45" i="2"/>
  <c r="B44" i="4" l="1"/>
  <c r="F42" i="4"/>
  <c r="B46" i="2"/>
  <c r="C46" i="2"/>
  <c r="B48" i="4" l="1"/>
  <c r="C48" i="4"/>
  <c r="C47" i="2"/>
  <c r="B47" i="2"/>
  <c r="C48" i="2" l="1"/>
  <c r="B48" i="2"/>
  <c r="B49" i="2" l="1"/>
  <c r="C49" i="2"/>
  <c r="B50" i="2" l="1"/>
  <c r="C50" i="2"/>
  <c r="B51" i="2" l="1"/>
  <c r="C51" i="2"/>
  <c r="C52" i="2" l="1"/>
  <c r="B52" i="2"/>
  <c r="B53" i="2" l="1"/>
  <c r="C53" i="2"/>
  <c r="B54" i="2" l="1"/>
  <c r="C54" i="2"/>
  <c r="C55" i="2" l="1"/>
  <c r="B55" i="2"/>
  <c r="C56" i="2" l="1"/>
  <c r="B56" i="2"/>
  <c r="C57" i="2" l="1"/>
  <c r="B57" i="2"/>
  <c r="B58" i="2" l="1"/>
  <c r="C58" i="2"/>
  <c r="B59" i="2" l="1"/>
  <c r="C59" i="2"/>
  <c r="C60" i="2" l="1"/>
  <c r="B6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7" authorId="0" shapeId="0" xr:uid="{00000000-0006-0000-0000-000001000000}">
      <text>
        <r>
          <rPr>
            <b/>
            <sz val="9"/>
            <color indexed="81"/>
            <rFont val="Tahoma"/>
            <family val="2"/>
          </rPr>
          <t>Author:</t>
        </r>
        <r>
          <rPr>
            <sz val="9"/>
            <color indexed="81"/>
            <rFont val="Tahoma"/>
            <family val="2"/>
          </rPr>
          <t xml:space="preserve">
Cumulative Net Cash flow: it helps us trace when we have paid back the initial investment and start making some money on top of the initial investment</t>
        </r>
      </text>
    </comment>
    <comment ref="A9" authorId="0" shapeId="0" xr:uid="{00000000-0006-0000-0000-000002000000}">
      <text>
        <r>
          <rPr>
            <b/>
            <sz val="9"/>
            <color indexed="81"/>
            <rFont val="Tahoma"/>
            <family val="2"/>
          </rPr>
          <t>Author:</t>
        </r>
        <r>
          <rPr>
            <sz val="9"/>
            <color indexed="81"/>
            <rFont val="Tahoma"/>
            <family val="2"/>
          </rPr>
          <t xml:space="preserve">
Cumulative Discounted Net Cash flow: it helps us trace when we have paid back the initial investment and start making some money on top of the initial investment</t>
        </r>
      </text>
    </comment>
    <comment ref="A23" authorId="0" shapeId="0" xr:uid="{00000000-0006-0000-0000-000003000000}">
      <text>
        <r>
          <rPr>
            <b/>
            <sz val="9"/>
            <color indexed="81"/>
            <rFont val="Tahoma"/>
            <family val="2"/>
          </rPr>
          <t>Author:</t>
        </r>
        <r>
          <rPr>
            <sz val="9"/>
            <color indexed="81"/>
            <rFont val="Tahoma"/>
            <family val="2"/>
          </rPr>
          <t xml:space="preserve">
Cumulative Net Cash flow: it helps us trace when we have paid back the initial investment and start making some money on top of the initial investment</t>
        </r>
      </text>
    </comment>
    <comment ref="A25" authorId="0" shapeId="0" xr:uid="{00000000-0006-0000-0000-000004000000}">
      <text>
        <r>
          <rPr>
            <b/>
            <sz val="9"/>
            <color indexed="81"/>
            <rFont val="Tahoma"/>
            <family val="2"/>
          </rPr>
          <t>Author:</t>
        </r>
        <r>
          <rPr>
            <sz val="9"/>
            <color indexed="81"/>
            <rFont val="Tahoma"/>
            <family val="2"/>
          </rPr>
          <t xml:space="preserve">
Panos Tziogkidis:
Cumulative Discounted Net Cash flow: it helps us trace when we have paid back the initial investment and start making some money on top of the initial investment</t>
        </r>
      </text>
    </comment>
    <comment ref="A30" authorId="0" shapeId="0" xr:uid="{00000000-0006-0000-0000-000005000000}">
      <text>
        <r>
          <rPr>
            <b/>
            <sz val="9"/>
            <color indexed="81"/>
            <rFont val="Tahoma"/>
            <family val="2"/>
          </rPr>
          <t>Author:</t>
        </r>
        <r>
          <rPr>
            <sz val="9"/>
            <color indexed="81"/>
            <rFont val="Tahoma"/>
            <family val="2"/>
          </rPr>
          <t xml:space="preserve">
Finance_rate    Required. The interest rate you pay on the money used in the cash flows.
Reinvest_rate    Required. The interest rate you receive on the cash flows as you reinvest them.
MIRR uses the order of values to interpret the order of cash flows. Be sure to enter your payment and income values in the sequence you want and with the correct signs (positive values for cash received, negative values for cash paid).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0" authorId="0" shapeId="0" xr:uid="{00000000-0006-0000-0300-000001000000}">
      <text>
        <r>
          <rPr>
            <b/>
            <sz val="9"/>
            <color indexed="81"/>
            <rFont val="Tahoma"/>
            <family val="2"/>
          </rPr>
          <t>Author:</t>
        </r>
        <r>
          <rPr>
            <sz val="9"/>
            <color indexed="81"/>
            <rFont val="Tahoma"/>
            <family val="2"/>
          </rPr>
          <t xml:space="preserve">
Losses from previous year that have been carried forward for tax purposes.</t>
        </r>
      </text>
    </comment>
    <comment ref="A31" authorId="0" shapeId="0" xr:uid="{00000000-0006-0000-0300-000002000000}">
      <text>
        <r>
          <rPr>
            <b/>
            <sz val="9"/>
            <color indexed="81"/>
            <rFont val="Tahoma"/>
            <family val="2"/>
          </rPr>
          <t>Author:</t>
        </r>
        <r>
          <rPr>
            <sz val="9"/>
            <color indexed="81"/>
            <rFont val="Tahoma"/>
            <family val="2"/>
          </rPr>
          <t xml:space="preserve">
You can carry forward your losses
See for example in the UK:
https://www.gov.uk/guidance/corporation-tax-calculating-and-claiming-a-loss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8" authorId="0" shapeId="0" xr:uid="{00000000-0006-0000-0800-000001000000}">
      <text>
        <r>
          <rPr>
            <b/>
            <sz val="9"/>
            <color indexed="81"/>
            <rFont val="Tahoma"/>
            <family val="2"/>
          </rPr>
          <t>Author:</t>
        </r>
        <r>
          <rPr>
            <sz val="9"/>
            <color indexed="81"/>
            <rFont val="Tahoma"/>
            <family val="2"/>
          </rPr>
          <t xml:space="preserve">
This is a tax refund and it is therefore an inflow.
In the UK, for example:
</t>
        </r>
        <r>
          <rPr>
            <b/>
            <sz val="9"/>
            <color indexed="81"/>
            <rFont val="Tahoma"/>
            <family val="2"/>
          </rPr>
          <t>Using losses to reduce your gain</t>
        </r>
        <r>
          <rPr>
            <sz val="9"/>
            <color indexed="81"/>
            <rFont val="Tahoma"/>
            <family val="2"/>
          </rPr>
          <t xml:space="preserve">
When you report a loss, the amount is deducted from the gains you made in the same tax year.
If your total taxable gain is still above the tax-free allowance, you can deduct unused losses from previous tax years. If they reduce your gain to the tax-free allowance, you can carry forward the remaining losses to a future tax year. 
source: www.gov.uk </t>
        </r>
      </text>
    </comment>
    <comment ref="D35" authorId="0" shapeId="0" xr:uid="{00000000-0006-0000-0800-000002000000}">
      <text>
        <r>
          <rPr>
            <b/>
            <sz val="9"/>
            <color indexed="81"/>
            <rFont val="Tahoma"/>
            <family val="2"/>
          </rPr>
          <t>Author:</t>
        </r>
        <r>
          <rPr>
            <sz val="9"/>
            <color indexed="81"/>
            <rFont val="Tahoma"/>
            <family val="2"/>
          </rPr>
          <t xml:space="preserve">
Check my Real Estate for a more accurate treatment of taxes and losses carried forward</t>
        </r>
      </text>
    </comment>
    <comment ref="G37" authorId="0" shapeId="0" xr:uid="{00000000-0006-0000-0800-000003000000}">
      <text>
        <r>
          <rPr>
            <b/>
            <sz val="9"/>
            <color indexed="81"/>
            <rFont val="Tahoma"/>
            <family val="2"/>
          </rPr>
          <t>Author:</t>
        </r>
        <r>
          <rPr>
            <sz val="9"/>
            <color indexed="81"/>
            <rFont val="Tahoma"/>
            <family val="2"/>
          </rPr>
          <t xml:space="preserve">
Intuitively, you had the opportunity to have a cash inflow due to depreciation but you decided to forfeit it</t>
        </r>
      </text>
    </comment>
    <comment ref="G42" authorId="0" shapeId="0" xr:uid="{00000000-0006-0000-0800-000004000000}">
      <text>
        <r>
          <rPr>
            <b/>
            <sz val="9"/>
            <color indexed="81"/>
            <rFont val="Tahoma"/>
            <family val="2"/>
          </rPr>
          <t>Author:</t>
        </r>
        <r>
          <rPr>
            <sz val="9"/>
            <color indexed="81"/>
            <rFont val="Tahoma"/>
            <family val="2"/>
          </rPr>
          <t xml:space="preserve">
Check formula
</t>
        </r>
      </text>
    </comment>
    <comment ref="G60" authorId="0" shapeId="0" xr:uid="{00000000-0006-0000-0800-000005000000}">
      <text>
        <r>
          <rPr>
            <b/>
            <sz val="9"/>
            <color indexed="81"/>
            <rFont val="Tahoma"/>
            <family val="2"/>
          </rPr>
          <t>Author:</t>
        </r>
        <r>
          <rPr>
            <sz val="9"/>
            <color indexed="81"/>
            <rFont val="Tahoma"/>
            <family val="2"/>
          </rPr>
          <t xml:space="preserve">
Just for modelling: the asset has already been depreciated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6" authorId="0" shapeId="0" xr:uid="{00000000-0006-0000-0900-000001000000}">
      <text>
        <r>
          <rPr>
            <b/>
            <sz val="9"/>
            <color indexed="81"/>
            <rFont val="Tahoma"/>
            <family val="2"/>
          </rPr>
          <t>Author:</t>
        </r>
        <r>
          <rPr>
            <sz val="9"/>
            <color indexed="81"/>
            <rFont val="Tahoma"/>
            <family val="2"/>
          </rPr>
          <t xml:space="preserve">
This is a tax refund and it is therefore an inflow.
In the UK, for example:
</t>
        </r>
        <r>
          <rPr>
            <b/>
            <sz val="9"/>
            <color indexed="81"/>
            <rFont val="Tahoma"/>
            <family val="2"/>
          </rPr>
          <t>Using losses to reduce your gain</t>
        </r>
        <r>
          <rPr>
            <sz val="9"/>
            <color indexed="81"/>
            <rFont val="Tahoma"/>
            <family val="2"/>
          </rPr>
          <t xml:space="preserve">
When you report a loss, the amount is deducted from the gains you made in the same tax year.
If your total taxable gain is still above the tax-free allowance, you can deduct unused losses from previous tax years. If they reduce your gain to the tax-free allowance, you can carry forward the remaining losses to a future tax year. 
source: www.gov.uk </t>
        </r>
      </text>
    </comment>
    <comment ref="G35" authorId="0" shapeId="0" xr:uid="{00000000-0006-0000-0900-000002000000}">
      <text>
        <r>
          <rPr>
            <b/>
            <sz val="9"/>
            <color indexed="81"/>
            <rFont val="Tahoma"/>
            <family val="2"/>
          </rPr>
          <t>Author:</t>
        </r>
        <r>
          <rPr>
            <sz val="9"/>
            <color indexed="81"/>
            <rFont val="Tahoma"/>
            <family val="2"/>
          </rPr>
          <t xml:space="preserve">
Intuitively, you had the opportunity to have a cash inflow due to depreciation but you decided to forfeit it</t>
        </r>
      </text>
    </comment>
    <comment ref="G40" authorId="0" shapeId="0" xr:uid="{00000000-0006-0000-0900-000003000000}">
      <text>
        <r>
          <rPr>
            <b/>
            <sz val="9"/>
            <color indexed="81"/>
            <rFont val="Tahoma"/>
            <family val="2"/>
          </rPr>
          <t>Author:</t>
        </r>
        <r>
          <rPr>
            <sz val="9"/>
            <color indexed="81"/>
            <rFont val="Tahoma"/>
            <family val="2"/>
          </rPr>
          <t xml:space="preserve">
Check formula
</t>
        </r>
      </text>
    </comment>
    <comment ref="G58" authorId="0" shapeId="0" xr:uid="{00000000-0006-0000-0900-000004000000}">
      <text>
        <r>
          <rPr>
            <b/>
            <sz val="9"/>
            <color indexed="81"/>
            <rFont val="Tahoma"/>
            <family val="2"/>
          </rPr>
          <t>Author:</t>
        </r>
        <r>
          <rPr>
            <sz val="9"/>
            <color indexed="81"/>
            <rFont val="Tahoma"/>
            <family val="2"/>
          </rPr>
          <t xml:space="preserve">
Just for modelling: the asset has already been depreciated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B00-000001000000}">
      <text>
        <r>
          <rPr>
            <b/>
            <sz val="9"/>
            <color indexed="81"/>
            <rFont val="Tahoma"/>
            <family val="2"/>
          </rPr>
          <t>Author:</t>
        </r>
        <r>
          <rPr>
            <sz val="9"/>
            <color indexed="81"/>
            <rFont val="Tahoma"/>
            <family val="2"/>
          </rPr>
          <t xml:space="preserve">
Losses from previous year that have been carried forward for tax purposes.</t>
        </r>
      </text>
    </comment>
    <comment ref="A30" authorId="0" shapeId="0" xr:uid="{00000000-0006-0000-0B00-000002000000}">
      <text>
        <r>
          <rPr>
            <b/>
            <sz val="9"/>
            <color indexed="81"/>
            <rFont val="Tahoma"/>
            <family val="2"/>
          </rPr>
          <t>Author:</t>
        </r>
        <r>
          <rPr>
            <sz val="9"/>
            <color indexed="81"/>
            <rFont val="Tahoma"/>
            <family val="2"/>
          </rPr>
          <t xml:space="preserve">
You can carry forward your losses
See for example in the UK:
https://www.gov.uk/guidance/corporation-tax-calculating-and-claiming-a-loss
And see the commentary here for the US</t>
        </r>
      </text>
    </comment>
    <comment ref="C45" authorId="0" shapeId="0" xr:uid="{00000000-0006-0000-0B00-000003000000}">
      <text>
        <r>
          <rPr>
            <b/>
            <sz val="9"/>
            <color indexed="81"/>
            <rFont val="Tahoma"/>
            <family val="2"/>
          </rPr>
          <t>Author:</t>
        </r>
        <r>
          <rPr>
            <sz val="9"/>
            <color indexed="81"/>
            <rFont val="Tahoma"/>
            <family val="2"/>
          </rPr>
          <t xml:space="preserve">
Interpretation: instead of the uncertain 5000 expected CF at the end of the first year, I will give you 4,782.6 now.
I carry the additional risk but I will also receive the proceeds of that year's cash flows.
This is the CEQ cash flow and it forms the basis for the valuation of real options.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C00-000001000000}">
      <text>
        <r>
          <rPr>
            <b/>
            <sz val="9"/>
            <color indexed="81"/>
            <rFont val="Tahoma"/>
            <family val="2"/>
          </rPr>
          <t>Author:</t>
        </r>
        <r>
          <rPr>
            <sz val="9"/>
            <color indexed="81"/>
            <rFont val="Tahoma"/>
            <family val="2"/>
          </rPr>
          <t xml:space="preserve">
Losses from previous year that have been carried forward for tax purposes.</t>
        </r>
      </text>
    </comment>
    <comment ref="A30" authorId="0" shapeId="0" xr:uid="{00000000-0006-0000-0C00-000002000000}">
      <text>
        <r>
          <rPr>
            <b/>
            <sz val="9"/>
            <color indexed="81"/>
            <rFont val="Tahoma"/>
            <family val="2"/>
          </rPr>
          <t>Author:</t>
        </r>
        <r>
          <rPr>
            <sz val="9"/>
            <color indexed="81"/>
            <rFont val="Tahoma"/>
            <family val="2"/>
          </rPr>
          <t xml:space="preserve">
You can carry forward your losses
See for example in the UK:
https://www.gov.uk/guidance/corporation-tax-calculating-and-claiming-a-loss
And see the commentary here for the US</t>
        </r>
      </text>
    </comment>
    <comment ref="C45" authorId="0" shapeId="0" xr:uid="{00000000-0006-0000-0C00-000003000000}">
      <text>
        <r>
          <rPr>
            <b/>
            <sz val="9"/>
            <color indexed="81"/>
            <rFont val="Tahoma"/>
            <family val="2"/>
          </rPr>
          <t>Author:</t>
        </r>
        <r>
          <rPr>
            <sz val="9"/>
            <color indexed="81"/>
            <rFont val="Tahoma"/>
            <family val="2"/>
          </rPr>
          <t xml:space="preserve">
Interpretation: instead of the uncertain 5000 expected CF at the end of the first year, I will give you 4,782.6 now.
I carry the additional risk but I will also receive the proceeds of that year's cash flows.
This is the CEQ cash flow and it forms the basis for the valuation of real options.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8" authorId="0" shapeId="0" xr:uid="{00000000-0006-0000-0F00-000001000000}">
      <text>
        <r>
          <rPr>
            <b/>
            <sz val="9"/>
            <color indexed="81"/>
            <rFont val="Tahoma"/>
            <family val="2"/>
          </rPr>
          <t>Author:</t>
        </r>
        <r>
          <rPr>
            <sz val="9"/>
            <color indexed="81"/>
            <rFont val="Tahoma"/>
            <family val="2"/>
          </rPr>
          <t xml:space="preserve">
Losses from previous year that have been carried forward for tax purposes.</t>
        </r>
      </text>
    </comment>
    <comment ref="A39" authorId="0" shapeId="0" xr:uid="{00000000-0006-0000-0F00-000002000000}">
      <text>
        <r>
          <rPr>
            <b/>
            <sz val="9"/>
            <color indexed="81"/>
            <rFont val="Tahoma"/>
            <family val="2"/>
          </rPr>
          <t>Author:</t>
        </r>
        <r>
          <rPr>
            <sz val="9"/>
            <color indexed="81"/>
            <rFont val="Tahoma"/>
            <family val="2"/>
          </rPr>
          <t xml:space="preserve">
You can carry forward your losses
See for example in the UK:
https://www.gov.uk/guidance/corporation-tax-calculating-and-claiming-a-loss
And see the commentary here for the US</t>
        </r>
      </text>
    </comment>
    <comment ref="C54" authorId="0" shapeId="0" xr:uid="{00000000-0006-0000-0F00-000003000000}">
      <text>
        <r>
          <rPr>
            <b/>
            <sz val="9"/>
            <color indexed="81"/>
            <rFont val="Tahoma"/>
            <family val="2"/>
          </rPr>
          <t>Author:</t>
        </r>
        <r>
          <rPr>
            <sz val="9"/>
            <color indexed="81"/>
            <rFont val="Tahoma"/>
            <family val="2"/>
          </rPr>
          <t xml:space="preserve">
Interpretation: instead of the uncertain 5000 expected CF at the end of the first year, I will give you 4,782.6 now.
I carry the additional risk but I will also receive the proceeds of that year's cash flows.
This is the CEQ cash flow and it forms the basis for the valuation of real options.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0" authorId="0" shapeId="0" xr:uid="{00000000-0006-0000-0E00-000001000000}">
      <text>
        <r>
          <rPr>
            <b/>
            <sz val="9"/>
            <color indexed="81"/>
            <rFont val="Tahoma"/>
            <family val="2"/>
          </rPr>
          <t>Author:</t>
        </r>
        <r>
          <rPr>
            <sz val="9"/>
            <color indexed="81"/>
            <rFont val="Tahoma"/>
            <family val="2"/>
          </rPr>
          <t xml:space="preserve">
Losses from previous year that have been carried forward for tax purposes.</t>
        </r>
      </text>
    </comment>
    <comment ref="A41" authorId="0" shapeId="0" xr:uid="{00000000-0006-0000-0E00-000002000000}">
      <text>
        <r>
          <rPr>
            <b/>
            <sz val="9"/>
            <color indexed="81"/>
            <rFont val="Tahoma"/>
            <family val="2"/>
          </rPr>
          <t>Author:</t>
        </r>
        <r>
          <rPr>
            <sz val="9"/>
            <color indexed="81"/>
            <rFont val="Tahoma"/>
            <family val="2"/>
          </rPr>
          <t xml:space="preserve">
You can carry forward your losses
See for example in the UK:
https://www.gov.uk/guidance/corporation-tax-calculating-and-claiming-a-loss
And see the commentary here for the US</t>
        </r>
      </text>
    </comment>
    <comment ref="C59" authorId="0" shapeId="0" xr:uid="{00000000-0006-0000-0E00-000003000000}">
      <text>
        <r>
          <rPr>
            <b/>
            <sz val="9"/>
            <color indexed="81"/>
            <rFont val="Tahoma"/>
            <family val="2"/>
          </rPr>
          <t>Author:</t>
        </r>
        <r>
          <rPr>
            <sz val="9"/>
            <color indexed="81"/>
            <rFont val="Tahoma"/>
            <family val="2"/>
          </rPr>
          <t xml:space="preserve">
Interpretation: instead of the uncertain 5000 expected CF at the end of the first year, I will give you 4,782.6 now.
I carry the additional risk but I will also receive the proceeds of that year's cash flows.
This is the CEQ cash flow and it forms the basis for the valuation of real options. </t>
        </r>
      </text>
    </comment>
    <comment ref="A74" authorId="0" shapeId="0" xr:uid="{00000000-0006-0000-0E00-000004000000}">
      <text>
        <r>
          <rPr>
            <b/>
            <sz val="9"/>
            <color indexed="81"/>
            <rFont val="Tahoma"/>
            <family val="2"/>
          </rPr>
          <t>Author:</t>
        </r>
        <r>
          <rPr>
            <sz val="9"/>
            <color indexed="81"/>
            <rFont val="Tahoma"/>
            <family val="2"/>
          </rPr>
          <t xml:space="preserve">
We approximate the free cash flow by adding back depreciation to reflect required reinvestment in the company to maintain its production capacity. In more complicated models there would be instead a CAPEX provision, budgeted accurately.
You can think of it as income not distributed to shareholders and left aside for required repairs, maintainance work or asset improvements. This, however, would also affect the income statement but we keep it simple.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2" authorId="0" shapeId="0" xr:uid="{00000000-0006-0000-1000-000001000000}">
      <text>
        <r>
          <rPr>
            <b/>
            <sz val="9"/>
            <color indexed="81"/>
            <rFont val="Tahoma"/>
            <family val="2"/>
          </rPr>
          <t>Author:</t>
        </r>
        <r>
          <rPr>
            <sz val="9"/>
            <color indexed="81"/>
            <rFont val="Tahoma"/>
            <family val="2"/>
          </rPr>
          <t xml:space="preserve">
Losses from previous year that have been carried forward for tax purposes.</t>
        </r>
      </text>
    </comment>
    <comment ref="A43" authorId="0" shapeId="0" xr:uid="{00000000-0006-0000-1000-000002000000}">
      <text>
        <r>
          <rPr>
            <b/>
            <sz val="9"/>
            <color indexed="81"/>
            <rFont val="Tahoma"/>
            <family val="2"/>
          </rPr>
          <t>Author:</t>
        </r>
        <r>
          <rPr>
            <sz val="9"/>
            <color indexed="81"/>
            <rFont val="Tahoma"/>
            <family val="2"/>
          </rPr>
          <t xml:space="preserve">
You can carry forward your losses
See for example in the UK:
https://www.gov.uk/guidance/corporation-tax-calculating-and-claiming-a-loss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1" authorId="0" shapeId="0" xr:uid="{00000000-0006-0000-0D00-000001000000}">
      <text>
        <r>
          <rPr>
            <b/>
            <sz val="9"/>
            <color indexed="81"/>
            <rFont val="Tahoma"/>
            <family val="2"/>
          </rPr>
          <t>Author:</t>
        </r>
        <r>
          <rPr>
            <sz val="9"/>
            <color indexed="81"/>
            <rFont val="Tahoma"/>
            <family val="2"/>
          </rPr>
          <t xml:space="preserve">
Losses from previous year that have been carried forward for tax purposes.</t>
        </r>
      </text>
    </comment>
    <comment ref="A42" authorId="0" shapeId="0" xr:uid="{00000000-0006-0000-0D00-000002000000}">
      <text>
        <r>
          <rPr>
            <b/>
            <sz val="9"/>
            <color indexed="81"/>
            <rFont val="Tahoma"/>
            <family val="2"/>
          </rPr>
          <t>Author:</t>
        </r>
        <r>
          <rPr>
            <sz val="9"/>
            <color indexed="81"/>
            <rFont val="Tahoma"/>
            <family val="2"/>
          </rPr>
          <t xml:space="preserve">
You can carry forward your losses
See for example in the UK:
https://www.gov.uk/guidance/corporation-tax-calculating-and-claiming-a-loss
 </t>
        </r>
      </text>
    </comment>
    <comment ref="B68" authorId="0" shapeId="0" xr:uid="{00000000-0006-0000-0D00-000003000000}">
      <text>
        <r>
          <rPr>
            <b/>
            <sz val="9"/>
            <color indexed="81"/>
            <rFont val="Tahoma"/>
            <family val="2"/>
          </rPr>
          <t>Author:</t>
        </r>
        <r>
          <rPr>
            <sz val="9"/>
            <color indexed="81"/>
            <rFont val="Tahoma"/>
            <family val="2"/>
          </rPr>
          <t xml:space="preserve">
In a way this is the net asset value plus costs for financing its acquisition. The net asset value (NAV) can be easily thought as the value of the asset if it were to be sold now, with transferring, though, all outstanding debt. Since debt reduces the value of the asset, if we were under 100% financing, the initial NAV would be 0. </t>
        </r>
      </text>
    </comment>
  </commentList>
</comments>
</file>

<file path=xl/sharedStrings.xml><?xml version="1.0" encoding="utf-8"?>
<sst xmlns="http://schemas.openxmlformats.org/spreadsheetml/2006/main" count="1050" uniqueCount="333">
  <si>
    <t>Project S</t>
  </si>
  <si>
    <t>Project L</t>
  </si>
  <si>
    <t>required rate</t>
  </si>
  <si>
    <t>Present value</t>
  </si>
  <si>
    <t>check this</t>
  </si>
  <si>
    <t>NPV (L)</t>
  </si>
  <si>
    <t>NPV (S)</t>
  </si>
  <si>
    <t>IRR (S)</t>
  </si>
  <si>
    <t>discount rate</t>
  </si>
  <si>
    <t>IRR (L)</t>
  </si>
  <si>
    <t>so that it does not discount the first payment</t>
  </si>
  <si>
    <t>MIRR(S)</t>
  </si>
  <si>
    <t>MIRR(L)</t>
  </si>
  <si>
    <t>Cum NCF</t>
  </si>
  <si>
    <t>Components</t>
  </si>
  <si>
    <t>Find years</t>
  </si>
  <si>
    <t xml:space="preserve">Uncovered part </t>
  </si>
  <si>
    <t>CF through next period</t>
  </si>
  <si>
    <t>PB (years)</t>
  </si>
  <si>
    <t>Inspect these functions to see how you can automate this computation</t>
  </si>
  <si>
    <t>Cumul. NCF</t>
  </si>
  <si>
    <t>Cumul. PV</t>
  </si>
  <si>
    <t>Cumul. NDCF</t>
  </si>
  <si>
    <t>MNPV (S)</t>
  </si>
  <si>
    <t>NPV</t>
  </si>
  <si>
    <t>(opportunity cost)</t>
  </si>
  <si>
    <t>MNPV (L)</t>
  </si>
  <si>
    <t>re-investment rate</t>
  </si>
  <si>
    <t>At a reinvestment rate of 7%, only project L has a positive MNVP</t>
  </si>
  <si>
    <t>PV</t>
  </si>
  <si>
    <t>Manual</t>
  </si>
  <si>
    <t>Initial Investment</t>
  </si>
  <si>
    <t>Asset Value</t>
  </si>
  <si>
    <t>Shipping and Installation</t>
  </si>
  <si>
    <t>Increase in NWK</t>
  </si>
  <si>
    <t>Investment Outlay</t>
  </si>
  <si>
    <t>Sales</t>
  </si>
  <si>
    <t>Variable costs</t>
  </si>
  <si>
    <t>Fixed overheads</t>
  </si>
  <si>
    <t>Projected sales (units)</t>
  </si>
  <si>
    <t xml:space="preserve">Price </t>
  </si>
  <si>
    <t>All values are in 000s</t>
  </si>
  <si>
    <t>of sales</t>
  </si>
  <si>
    <t>Depreciation*</t>
  </si>
  <si>
    <t>5-Year MARCS</t>
  </si>
  <si>
    <t>EBITDA</t>
  </si>
  <si>
    <t>Tax</t>
  </si>
  <si>
    <t>Tax rate</t>
  </si>
  <si>
    <t>EBT</t>
  </si>
  <si>
    <t>Net Income</t>
  </si>
  <si>
    <t>*Depreciation rates</t>
  </si>
  <si>
    <t>Terminal Cash flow</t>
  </si>
  <si>
    <t>Salvage value</t>
  </si>
  <si>
    <t>Note: Book value of asset</t>
  </si>
  <si>
    <t>Tax from capital gains/losses</t>
  </si>
  <si>
    <t>add depreciation</t>
  </si>
  <si>
    <t>Asset salvage</t>
  </si>
  <si>
    <t>Return of NWC</t>
  </si>
  <si>
    <t>Supplemental CF</t>
  </si>
  <si>
    <t>Supplemental Cash Flows</t>
  </si>
  <si>
    <t>Terminal CF</t>
  </si>
  <si>
    <t>Total Net Cash Flow</t>
  </si>
  <si>
    <t>IRR</t>
  </si>
  <si>
    <t>PB</t>
  </si>
  <si>
    <t>DPB</t>
  </si>
  <si>
    <t>Req.rate</t>
  </si>
  <si>
    <t>Cum. NCF</t>
  </si>
  <si>
    <t>Cum. Disc. NCF</t>
  </si>
  <si>
    <t>Disc. PB</t>
  </si>
  <si>
    <t>New Asset Value</t>
  </si>
  <si>
    <t>Old asset purchase value</t>
  </si>
  <si>
    <t>Depreciation per year</t>
  </si>
  <si>
    <t>3-Year MARCS</t>
  </si>
  <si>
    <t>Note: Book value of new asset</t>
  </si>
  <si>
    <t>Book value*</t>
  </si>
  <si>
    <t>Years of usage</t>
  </si>
  <si>
    <t>Savings in OPEX</t>
  </si>
  <si>
    <t>OPEX Savings</t>
  </si>
  <si>
    <t>Old Asset Salvage</t>
  </si>
  <si>
    <t>Current market value</t>
  </si>
  <si>
    <t>Change in Depreciation</t>
  </si>
  <si>
    <t>Change EBT</t>
  </si>
  <si>
    <t>Forfeited old asset salvage</t>
  </si>
  <si>
    <t>Forfeited cap gains tax on old</t>
  </si>
  <si>
    <t>so &gt; 5 years</t>
  </si>
  <si>
    <t>inflation</t>
  </si>
  <si>
    <t>Flows affected by inflation</t>
  </si>
  <si>
    <t>Assume that all contracts, wages and prices are</t>
  </si>
  <si>
    <t>linked to inflation</t>
  </si>
  <si>
    <t>We have not changed it</t>
  </si>
  <si>
    <t>or adjuested for inflation</t>
  </si>
  <si>
    <t xml:space="preserve">Try different values </t>
  </si>
  <si>
    <t>Compute equivalent annual annuity</t>
  </si>
  <si>
    <t>A</t>
  </si>
  <si>
    <t>B</t>
  </si>
  <si>
    <t>cost of capital</t>
  </si>
  <si>
    <t>PV at 6%</t>
  </si>
  <si>
    <t>E.A.A</t>
  </si>
  <si>
    <t>Asset Improvements</t>
  </si>
  <si>
    <t>of revenues</t>
  </si>
  <si>
    <t>40 years straight method</t>
  </si>
  <si>
    <t>Occupancy rate</t>
  </si>
  <si>
    <t>Rental Income</t>
  </si>
  <si>
    <t>Entry yield</t>
  </si>
  <si>
    <t>Exit yield</t>
  </si>
  <si>
    <t>Flat depreciation rate</t>
  </si>
  <si>
    <t>Initial Rental Income</t>
  </si>
  <si>
    <t>Various oper. Costs + maint</t>
  </si>
  <si>
    <t>Asset sale</t>
  </si>
  <si>
    <t>MIRR</t>
  </si>
  <si>
    <t>FV: MNPV &amp; MIRR</t>
  </si>
  <si>
    <t>2nd way</t>
  </si>
  <si>
    <t>Losses carried forward</t>
  </si>
  <si>
    <t>What rental income do you need to achieve an IRR of 8% if no inflation?</t>
  </si>
  <si>
    <t>What is the maximum IRR under 0 and 3% inflation?</t>
  </si>
  <si>
    <t>Rental income growth</t>
  </si>
  <si>
    <t>Base level</t>
  </si>
  <si>
    <t>Deviation</t>
  </si>
  <si>
    <t>Sensitivity to Units sold</t>
  </si>
  <si>
    <t>Sensitivity to Variable costs</t>
  </si>
  <si>
    <t>Units sold</t>
  </si>
  <si>
    <t>Variable Costs</t>
  </si>
  <si>
    <t>Sensitivity analysis with Data Tables</t>
  </si>
  <si>
    <t>Scenario</t>
  </si>
  <si>
    <t>Best Case</t>
  </si>
  <si>
    <t>Normal</t>
  </si>
  <si>
    <t>Worst Case</t>
  </si>
  <si>
    <t>Price</t>
  </si>
  <si>
    <t>Prob</t>
  </si>
  <si>
    <t>NPV x Prob</t>
  </si>
  <si>
    <t>Expected NPV</t>
  </si>
  <si>
    <t>Stand. Dev</t>
  </si>
  <si>
    <t>Coeff. Var.</t>
  </si>
  <si>
    <t>Rf</t>
  </si>
  <si>
    <t>Certain DCF</t>
  </si>
  <si>
    <t>Total CF</t>
  </si>
  <si>
    <t>CEQ</t>
  </si>
  <si>
    <t>Haircut</t>
  </si>
  <si>
    <t>TVM compensation</t>
  </si>
  <si>
    <t>TVM comp.</t>
  </si>
  <si>
    <t>To speed up the sheet, I have deactivated automatic updating of Data Tables. You can recalculate the sheet after every change of parameters by pressing F9.</t>
  </si>
  <si>
    <t>Loan</t>
  </si>
  <si>
    <t>Equity</t>
  </si>
  <si>
    <t>Loan or Bond</t>
  </si>
  <si>
    <t>Rate</t>
  </si>
  <si>
    <t>Float Cost</t>
  </si>
  <si>
    <t>EBIT</t>
  </si>
  <si>
    <t>Interest</t>
  </si>
  <si>
    <t>Baloon %</t>
  </si>
  <si>
    <t>Baloon</t>
  </si>
  <si>
    <t>Rm</t>
  </si>
  <si>
    <t>Beta</t>
  </si>
  <si>
    <t>Equity Cost</t>
  </si>
  <si>
    <t>Floatation costs</t>
  </si>
  <si>
    <t>we will add the baloon in the end - even if we assumed refinancing,</t>
  </si>
  <si>
    <t>there will be debt carried over to the shareholders, reducing the net asset value</t>
  </si>
  <si>
    <t>Equity IRR</t>
  </si>
  <si>
    <t>Net Op.CF after debt repayment</t>
  </si>
  <si>
    <t>Capital structure</t>
  </si>
  <si>
    <t>Loan %</t>
  </si>
  <si>
    <t>Too good to be true!!!</t>
  </si>
  <si>
    <t>Cash on Cash</t>
  </si>
  <si>
    <t>Loan Rate %</t>
  </si>
  <si>
    <t>This is what we also used for our projects and we would compare against some benchmark return on assets</t>
  </si>
  <si>
    <t>So one IRR for the project and one to examine the returns to the equity used</t>
  </si>
  <si>
    <t>Less CAPEX=dep</t>
  </si>
  <si>
    <t>IRR to investors</t>
  </si>
  <si>
    <t>This is what cash the shareholders receive in the form of dividends from investing their equity on this project</t>
  </si>
  <si>
    <t>Eq. Floatation costs</t>
  </si>
  <si>
    <t>Equity cash flows</t>
  </si>
  <si>
    <t>I have already included some maintainance costs so after servicing the debt we can distribute dividends</t>
  </si>
  <si>
    <t>Cash to shareholders for cash contributed in the investment. It also reflects the effect on the overall dividends of the firm</t>
  </si>
  <si>
    <t>We see that this really is a long-term project, which is usually the case with real estate. This is why the investment timings</t>
  </si>
  <si>
    <t>need to be well designed with REITS as we would like these negative outflows in one year to be balanced out by large cash</t>
  </si>
  <si>
    <t>inflows by selling back the asset.</t>
  </si>
  <si>
    <t>Net CF after debt repayment</t>
  </si>
  <si>
    <t xml:space="preserve">One side of the argument indicates that 1. this is NOT an operating cash flow and 2. WACC is </t>
  </si>
  <si>
    <t>related to the cost of capital of the whole company</t>
  </si>
  <si>
    <t>It is correct - this is why you cannot use WACC with this treatment</t>
  </si>
  <si>
    <t xml:space="preserve">The other side of the argument indicates that equity is raised for certain purposes and therefore </t>
  </si>
  <si>
    <t xml:space="preserve">it is an outflow factor that relates to a certain project as per budgeted. So it should be treated </t>
  </si>
  <si>
    <t xml:space="preserve">like this. HOWEVER, since this violates the seperation principle (investing and financing), it would </t>
  </si>
  <si>
    <t xml:space="preserve">be incorrect to use the NPV method, by discounting at some WACC. </t>
  </si>
  <si>
    <t>Both approaches are used today (WACC and what I have here). My advice is, be carefull and consistent</t>
  </si>
  <si>
    <t xml:space="preserve">There is a lot of debate about the correct treatment of floatation and other financing costs. </t>
  </si>
  <si>
    <t>Less principal + baloon+float.cost</t>
  </si>
  <si>
    <t>Float. Costs</t>
  </si>
  <si>
    <t>Total Net Cash Flow (+int)</t>
  </si>
  <si>
    <t>Shareholders like the cash on cash because they see how their commitment is interpreted in monetary terms</t>
  </si>
  <si>
    <t>Shareholders (eq + dividends)</t>
  </si>
  <si>
    <t>Less principal + baloon + float</t>
  </si>
  <si>
    <t>WACC</t>
  </si>
  <si>
    <t>Total Capital</t>
  </si>
  <si>
    <t>Equity %</t>
  </si>
  <si>
    <t>now WACC</t>
  </si>
  <si>
    <t>Important Note:</t>
  </si>
  <si>
    <t>The IRR does not change - only the NPV changes</t>
  </si>
  <si>
    <t>This is because of the seperation principle, where basically</t>
  </si>
  <si>
    <t>the net cash flows (on which the IRR is computed) are the same</t>
  </si>
  <si>
    <t>I changed it to 12% for comparison purposes</t>
  </si>
  <si>
    <t>Capital Required</t>
  </si>
  <si>
    <t>Useful links</t>
  </si>
  <si>
    <t xml:space="preserve">http://pages.stern.nyu.edu/~adamodar/New_Home_Page/datafile/Betas.html </t>
  </si>
  <si>
    <t>Eq.Flot. costs</t>
  </si>
  <si>
    <t>beta</t>
  </si>
  <si>
    <t>https://www.reit.com/data-research/data/industry-snapshot</t>
  </si>
  <si>
    <t>div yield</t>
  </si>
  <si>
    <t>exp. Div.growth</t>
  </si>
  <si>
    <t>http://marketrealist.com/2015/08/reits-dividend-yield-higher-compared-asset-classes/</t>
  </si>
  <si>
    <t>US Treasury 10Y</t>
  </si>
  <si>
    <t>(to match investment horizon)</t>
  </si>
  <si>
    <t>Cost of equity - DCF approach</t>
  </si>
  <si>
    <t>Cost of equity - CAPM approach</t>
  </si>
  <si>
    <t>https://www.reit.com/data-research/research/market-commentary/reit-returns-volatilities-correlation-beta-three-months</t>
  </si>
  <si>
    <t>PGIM global outlook report</t>
  </si>
  <si>
    <t>Real estate risk premium</t>
  </si>
  <si>
    <t>Add extra risk premium on investment</t>
  </si>
  <si>
    <t>Cost of equity</t>
  </si>
  <si>
    <t>This will be the WACC now</t>
  </si>
  <si>
    <t>Not safe to use NPV and IRR here</t>
  </si>
  <si>
    <t>perhaps only IRR, but still, be carefull</t>
  </si>
  <si>
    <t>so better avoid using the NPV formula unless …</t>
  </si>
  <si>
    <t>...unless</t>
  </si>
  <si>
    <t>Which will be covered in the</t>
  </si>
  <si>
    <t>following year. This also explains</t>
  </si>
  <si>
    <t>why the selected sells on row 6</t>
  </si>
  <si>
    <t>"miss" the first column. I want</t>
  </si>
  <si>
    <t>to get the one year ahead value.</t>
  </si>
  <si>
    <t>Payback Period S</t>
  </si>
  <si>
    <t>Payback Period L</t>
  </si>
  <si>
    <t>Just check something</t>
  </si>
  <si>
    <t>You will need to change the FV compounding rate of inflows</t>
  </si>
  <si>
    <t>rate</t>
  </si>
  <si>
    <t>capital loss</t>
  </si>
  <si>
    <t>book value end</t>
  </si>
  <si>
    <t>salvage</t>
  </si>
  <si>
    <t>capital gain</t>
  </si>
  <si>
    <t>Sensitivity Analysis</t>
  </si>
  <si>
    <t>Debt Fin. %</t>
  </si>
  <si>
    <t>Sensitivity %</t>
  </si>
  <si>
    <t>Occupancy</t>
  </si>
  <si>
    <t>Exit Yield</t>
  </si>
  <si>
    <t>Entry Yield</t>
  </si>
  <si>
    <t>disount rate</t>
  </si>
  <si>
    <t>CF</t>
  </si>
  <si>
    <t>DCF</t>
  </si>
  <si>
    <t>$E$8</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</si>
  <si>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</si>
  <si>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</si>
  <si>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</si>
  <si>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</si>
  <si>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</si>
  <si>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</si>
  <si>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</si>
  <si>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$B$50</t>
  </si>
  <si>
    <t>$B$51</t>
  </si>
  <si>
    <t>$B$52</t>
  </si>
  <si>
    <t>$B$53</t>
  </si>
  <si>
    <t>$B$54</t>
  </si>
  <si>
    <t>units -10%</t>
  </si>
  <si>
    <t>units -5</t>
  </si>
  <si>
    <t>units 0</t>
  </si>
  <si>
    <t>units 5%</t>
  </si>
  <si>
    <t>units 10%</t>
  </si>
  <si>
    <t>Created by Author on 18/02/2018
Modified by Author on 18/02/2018</t>
  </si>
  <si>
    <t>Created by Author on 18/02/2018</t>
  </si>
  <si>
    <t>$E$9</t>
  </si>
  <si>
    <t>price 10%</t>
  </si>
  <si>
    <t>npv  with price - quantity</t>
  </si>
  <si>
    <t>price</t>
  </si>
  <si>
    <t>quantity</t>
  </si>
  <si>
    <t>NPV variability</t>
  </si>
  <si>
    <t>Break Even</t>
  </si>
  <si>
    <t>Fixed Overheads</t>
  </si>
  <si>
    <t>tax return</t>
  </si>
  <si>
    <t>Safety margin</t>
  </si>
  <si>
    <t>invest</t>
  </si>
  <si>
    <t>shi inst</t>
  </si>
  <si>
    <t>NWP inc</t>
  </si>
  <si>
    <t>units</t>
  </si>
  <si>
    <t>Period</t>
  </si>
  <si>
    <t>Initial Invest Outlay</t>
  </si>
  <si>
    <t>New asset</t>
  </si>
  <si>
    <t>Shipping inst</t>
  </si>
  <si>
    <t>VC</t>
  </si>
  <si>
    <t>sales</t>
  </si>
  <si>
    <t>NWC</t>
  </si>
  <si>
    <t>Op Cash flows</t>
  </si>
  <si>
    <t>Cost of sales</t>
  </si>
  <si>
    <t>Depreciation</t>
  </si>
  <si>
    <t>Book value end</t>
  </si>
  <si>
    <t>Book value start</t>
  </si>
  <si>
    <t>Salvage Value</t>
  </si>
  <si>
    <t>NI</t>
  </si>
  <si>
    <t>Add Depr</t>
  </si>
  <si>
    <t>Supp operating cash flows</t>
  </si>
  <si>
    <t>Terminal Cash Flow</t>
  </si>
  <si>
    <t>Capital gains tax/subs</t>
  </si>
  <si>
    <t>Return NWC</t>
  </si>
  <si>
    <t>Total</t>
  </si>
  <si>
    <t>Supplemental OpCF</t>
  </si>
  <si>
    <t>Discount rate av.project</t>
  </si>
  <si>
    <t>e.g. reinvestment rate at 10%??? Check</t>
  </si>
  <si>
    <t>Discounted Cum NCF</t>
  </si>
  <si>
    <t>find year</t>
  </si>
  <si>
    <t>uncovered part</t>
  </si>
  <si>
    <t>next year's coverage</t>
  </si>
  <si>
    <t>So PB is</t>
  </si>
  <si>
    <t>Disc PB</t>
  </si>
  <si>
    <t>Terminal Value (TV)</t>
  </si>
  <si>
    <t>Number of periods</t>
  </si>
  <si>
    <t xml:space="preserve"> MNPV &amp; MIRR</t>
  </si>
  <si>
    <t>FV of Cash Inflows</t>
  </si>
  <si>
    <t>PV of Cash Outflows</t>
  </si>
  <si>
    <t>Simple Calculation</t>
  </si>
  <si>
    <t>Initial Cash Flow</t>
  </si>
  <si>
    <t>Supplemental Cash Flow</t>
  </si>
  <si>
    <t>Net Cash Flow</t>
  </si>
  <si>
    <t>Note: Depreciation</t>
  </si>
  <si>
    <t>Start Book Value</t>
  </si>
  <si>
    <t>End Book Value</t>
  </si>
  <si>
    <t>Depreciation Rate</t>
  </si>
  <si>
    <t>Asset Acquisition</t>
  </si>
  <si>
    <t>Installation Costs</t>
  </si>
  <si>
    <t>Increase in Working Capital</t>
  </si>
  <si>
    <t>Total Asset acquisition costs</t>
  </si>
  <si>
    <t>price -10</t>
  </si>
  <si>
    <t>Created by Author on 19/02/2018</t>
  </si>
  <si>
    <t>price -5</t>
  </si>
  <si>
    <t>price 0</t>
  </si>
  <si>
    <t>price 5</t>
  </si>
  <si>
    <t>Certain Equivalent CF</t>
  </si>
  <si>
    <t>Total CEQ Decomposition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</si>
</sst>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Red]\-&quot;£&quot;#,##0.00"/>
    <numFmt numFmtId="44" formatCode="_-&quot;£&quot;* #,##0.00_-;\-&quot;£&quot;* #,##0.00_-;_-&quot;£&quot;* &quot;-&quot;??_-;_-@_-"/>
    <numFmt numFmtId="43" formatCode="_-* #,##0.00_-;\-* #,##0.00_-;_-* &quot;-&quot;??_-;_-@_-"/>
    <numFmt numFmtId="164" formatCode="0.0%"/>
    <numFmt numFmtId="165" formatCode="_-* #,##0_-;\-* #,##0_-;_-* &quot;-&quot;??_-;_-@_-"/>
    <numFmt numFmtId="166" formatCode="_-&quot;£&quot;* #,##0.0_-;\-&quot;£&quot;* #,##0.0_-;_-&quot;£&quot;* &quot;-&quot;??_-;_-@_-"/>
    <numFmt numFmtId="167" formatCode="_-&quot;£&quot;* #,##0_-;\-&quot;£&quot;* #,##0_-;_-&quot;£&quot;* &quot;-&quot;??_-;_-@_-"/>
    <numFmt numFmtId="168" formatCode="_-&quot;£&quot;* #,##0.0_-;\-&quot;£&quot;* #,##0.0_-;_-&quot;£&quot;* &quot;-&quot;?_-;_-@_-"/>
    <numFmt numFmtId="169" formatCode="_-[$£-809]* #,##0.00_-;\-[$£-809]* #,##0.00_-;_-[$£-809]* &quot;-&quot;??_-;_-@_-"/>
    <numFmt numFmtId="170" formatCode="0.0000000000000"/>
    <numFmt numFmtId="171"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rgb="FFFF0000"/>
      <name val="Calibri"/>
      <family val="2"/>
      <scheme val="minor"/>
    </font>
    <font>
      <b/>
      <u/>
      <sz val="11"/>
      <color theme="1"/>
      <name val="Calibri"/>
      <family val="2"/>
      <scheme val="minor"/>
    </font>
    <font>
      <u/>
      <sz val="11"/>
      <color theme="1"/>
      <name val="Calibri"/>
      <family val="2"/>
      <scheme val="minor"/>
    </font>
    <font>
      <b/>
      <sz val="14"/>
      <color theme="1"/>
      <name val="Calibri"/>
      <family val="2"/>
      <scheme val="minor"/>
    </font>
    <font>
      <sz val="14"/>
      <color theme="1"/>
      <name val="Calibri"/>
      <family val="2"/>
      <scheme val="minor"/>
    </font>
    <font>
      <sz val="11"/>
      <color rgb="FFFF0000"/>
      <name val="Calibri"/>
      <family val="2"/>
      <scheme val="minor"/>
    </font>
    <font>
      <u/>
      <sz val="11"/>
      <color theme="10"/>
      <name val="Calibri"/>
      <family val="2"/>
      <scheme val="minor"/>
    </font>
    <font>
      <sz val="10"/>
      <color indexed="9"/>
      <name val="Calibri"/>
      <family val="2"/>
      <scheme val="minor"/>
    </font>
    <font>
      <sz val="8"/>
      <color theme="1"/>
      <name val="Calibri"/>
      <family val="2"/>
      <scheme val="minor"/>
    </font>
    <font>
      <b/>
      <i/>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s>
  <fills count="14">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000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07">
    <xf numFmtId="0" fontId="0" fillId="0" borderId="0" xfId="0"/>
    <xf numFmtId="0" fontId="2" fillId="2" borderId="0" xfId="0" applyFont="1" applyFill="1"/>
    <xf numFmtId="0" fontId="0" fillId="2" borderId="0" xfId="0" applyFill="1"/>
    <xf numFmtId="2" fontId="0" fillId="2" borderId="0" xfId="0" applyNumberFormat="1" applyFill="1"/>
    <xf numFmtId="2" fontId="2" fillId="2" borderId="0" xfId="0" applyNumberFormat="1" applyFont="1" applyFill="1"/>
    <xf numFmtId="0" fontId="0" fillId="3" borderId="1" xfId="0" applyFill="1" applyBorder="1"/>
    <xf numFmtId="0" fontId="0" fillId="3" borderId="0" xfId="0" applyFill="1"/>
    <xf numFmtId="0" fontId="2" fillId="3" borderId="0" xfId="0" applyFont="1" applyFill="1"/>
    <xf numFmtId="0" fontId="0" fillId="3" borderId="0" xfId="0" applyFont="1" applyFill="1"/>
    <xf numFmtId="166" fontId="2" fillId="3" borderId="0" xfId="1" applyNumberFormat="1" applyFont="1" applyFill="1"/>
    <xf numFmtId="166" fontId="0" fillId="3" borderId="0" xfId="1" applyNumberFormat="1" applyFont="1" applyFill="1"/>
    <xf numFmtId="44" fontId="2" fillId="3" borderId="0" xfId="1" applyFont="1" applyFill="1"/>
    <xf numFmtId="164" fontId="2" fillId="3" borderId="0" xfId="0" applyNumberFormat="1" applyFont="1" applyFill="1"/>
    <xf numFmtId="9" fontId="0" fillId="3" borderId="0" xfId="0" applyNumberFormat="1" applyFill="1"/>
    <xf numFmtId="10" fontId="0" fillId="3" borderId="0" xfId="0" applyNumberFormat="1" applyFill="1"/>
    <xf numFmtId="0" fontId="6" fillId="3" borderId="0" xfId="0" applyFont="1" applyFill="1"/>
    <xf numFmtId="0" fontId="7" fillId="3" borderId="0" xfId="0" applyFont="1" applyFill="1"/>
    <xf numFmtId="0" fontId="0" fillId="4" borderId="0" xfId="0" applyFill="1"/>
    <xf numFmtId="9" fontId="0" fillId="4" borderId="0" xfId="0" applyNumberFormat="1" applyFill="1"/>
    <xf numFmtId="165" fontId="0" fillId="4" borderId="0" xfId="3" applyNumberFormat="1" applyFont="1" applyFill="1"/>
    <xf numFmtId="10" fontId="0" fillId="4" borderId="0" xfId="0" applyNumberFormat="1" applyFill="1"/>
    <xf numFmtId="0" fontId="2" fillId="5" borderId="0" xfId="0" applyFont="1" applyFill="1"/>
    <xf numFmtId="44" fontId="2" fillId="5" borderId="0" xfId="1" applyFont="1" applyFill="1"/>
    <xf numFmtId="164" fontId="2" fillId="5" borderId="0" xfId="0" applyNumberFormat="1" applyFont="1" applyFill="1"/>
    <xf numFmtId="2" fontId="2" fillId="5" borderId="0" xfId="0" applyNumberFormat="1" applyFont="1" applyFill="1"/>
    <xf numFmtId="0" fontId="0" fillId="5" borderId="0" xfId="0" applyFill="1"/>
    <xf numFmtId="9" fontId="2" fillId="5" borderId="0" xfId="0" applyNumberFormat="1" applyFont="1" applyFill="1"/>
    <xf numFmtId="0" fontId="2" fillId="2" borderId="2" xfId="0" applyFont="1" applyFill="1" applyBorder="1"/>
    <xf numFmtId="166" fontId="2" fillId="2" borderId="2" xfId="1" applyNumberFormat="1" applyFont="1" applyFill="1" applyBorder="1"/>
    <xf numFmtId="164" fontId="0" fillId="4" borderId="0" xfId="0" applyNumberFormat="1" applyFill="1"/>
    <xf numFmtId="2" fontId="0" fillId="4" borderId="0" xfId="0" applyNumberFormat="1" applyFill="1"/>
    <xf numFmtId="2" fontId="0" fillId="3" borderId="0" xfId="0" applyNumberFormat="1" applyFill="1"/>
    <xf numFmtId="1" fontId="0" fillId="3" borderId="0" xfId="0" applyNumberFormat="1" applyFill="1"/>
    <xf numFmtId="1" fontId="7" fillId="3" borderId="0" xfId="0" applyNumberFormat="1" applyFont="1" applyFill="1"/>
    <xf numFmtId="1" fontId="2" fillId="3" borderId="0" xfId="0" applyNumberFormat="1" applyFont="1" applyFill="1"/>
    <xf numFmtId="0" fontId="0" fillId="6" borderId="0" xfId="0" applyFill="1"/>
    <xf numFmtId="9" fontId="0" fillId="6" borderId="0" xfId="0" applyNumberFormat="1" applyFill="1"/>
    <xf numFmtId="0" fontId="0" fillId="6" borderId="0" xfId="0" applyFont="1" applyFill="1"/>
    <xf numFmtId="0" fontId="7" fillId="6" borderId="0" xfId="0" applyFont="1" applyFill="1"/>
    <xf numFmtId="164" fontId="0" fillId="3" borderId="0" xfId="0" applyNumberFormat="1" applyFill="1"/>
    <xf numFmtId="8" fontId="0" fillId="3" borderId="0" xfId="0" applyNumberFormat="1" applyFill="1"/>
    <xf numFmtId="44" fontId="5" fillId="3" borderId="0" xfId="1" applyFont="1" applyFill="1"/>
    <xf numFmtId="164" fontId="0" fillId="3" borderId="0" xfId="2" applyNumberFormat="1" applyFont="1" applyFill="1"/>
    <xf numFmtId="10" fontId="2" fillId="3" borderId="0" xfId="0" applyNumberFormat="1" applyFont="1" applyFill="1"/>
    <xf numFmtId="10" fontId="0" fillId="3" borderId="0" xfId="2" applyNumberFormat="1" applyFont="1" applyFill="1"/>
    <xf numFmtId="167" fontId="0" fillId="4" borderId="0" xfId="1" applyNumberFormat="1" applyFont="1" applyFill="1"/>
    <xf numFmtId="167" fontId="2" fillId="3" borderId="0" xfId="1" applyNumberFormat="1" applyFont="1" applyFill="1"/>
    <xf numFmtId="167" fontId="0" fillId="3" borderId="0" xfId="1" applyNumberFormat="1" applyFont="1" applyFill="1"/>
    <xf numFmtId="1" fontId="0" fillId="4" borderId="0" xfId="0" applyNumberFormat="1" applyFill="1"/>
    <xf numFmtId="9" fontId="0" fillId="2" borderId="0" xfId="0" applyNumberFormat="1" applyFill="1"/>
    <xf numFmtId="0" fontId="0" fillId="2" borderId="0" xfId="0" applyFill="1" applyAlignment="1">
      <alignment horizontal="center" vertical="center"/>
    </xf>
    <xf numFmtId="8" fontId="0" fillId="2" borderId="0" xfId="0" applyNumberFormat="1" applyFill="1" applyAlignment="1">
      <alignment horizontal="center" vertical="center"/>
    </xf>
    <xf numFmtId="1" fontId="0" fillId="3" borderId="0" xfId="0" applyNumberFormat="1" applyFont="1" applyFill="1"/>
    <xf numFmtId="0" fontId="0" fillId="4" borderId="0" xfId="0" applyFill="1" applyAlignment="1">
      <alignment horizontal="left"/>
    </xf>
    <xf numFmtId="165" fontId="0" fillId="2" borderId="0" xfId="3" applyNumberFormat="1" applyFont="1" applyFill="1"/>
    <xf numFmtId="0" fontId="2" fillId="2" borderId="1" xfId="0" applyFont="1" applyFill="1" applyBorder="1" applyAlignment="1">
      <alignment horizontal="center"/>
    </xf>
    <xf numFmtId="10" fontId="2" fillId="5" borderId="0" xfId="0" applyNumberFormat="1" applyFont="1" applyFill="1"/>
    <xf numFmtId="0" fontId="0" fillId="0" borderId="0" xfId="0" applyAlignment="1">
      <alignment horizontal="center"/>
    </xf>
    <xf numFmtId="0" fontId="0" fillId="7" borderId="0" xfId="0" applyFill="1"/>
    <xf numFmtId="0" fontId="2" fillId="7" borderId="0" xfId="0" applyFont="1" applyFill="1"/>
    <xf numFmtId="0" fontId="2" fillId="0" borderId="0" xfId="0" applyFont="1"/>
    <xf numFmtId="44" fontId="0" fillId="0" borderId="0" xfId="0" applyNumberFormat="1"/>
    <xf numFmtId="164" fontId="0" fillId="0" borderId="0" xfId="0" applyNumberFormat="1"/>
    <xf numFmtId="2" fontId="0" fillId="0" borderId="0" xfId="0" applyNumberFormat="1"/>
    <xf numFmtId="9" fontId="0" fillId="0" borderId="0" xfId="0" applyNumberFormat="1" applyAlignment="1">
      <alignment horizontal="center"/>
    </xf>
    <xf numFmtId="167" fontId="2" fillId="5" borderId="0" xfId="1" applyNumberFormat="1" applyFont="1" applyFill="1"/>
    <xf numFmtId="0" fontId="8" fillId="2" borderId="0" xfId="0" applyFont="1" applyFill="1" applyAlignment="1">
      <alignment horizontal="center"/>
    </xf>
    <xf numFmtId="0" fontId="8" fillId="2" borderId="0" xfId="0" applyFont="1" applyFill="1" applyAlignment="1">
      <alignment horizontal="center" vertical="center"/>
    </xf>
    <xf numFmtId="0" fontId="9" fillId="2" borderId="0" xfId="0" applyFont="1" applyFill="1"/>
    <xf numFmtId="44" fontId="9" fillId="2" borderId="0" xfId="0" applyNumberFormat="1" applyFont="1" applyFill="1"/>
    <xf numFmtId="0" fontId="9" fillId="2" borderId="0" xfId="0" applyFont="1" applyFill="1" applyBorder="1"/>
    <xf numFmtId="0" fontId="9" fillId="2" borderId="1" xfId="0" applyFont="1" applyFill="1" applyBorder="1"/>
    <xf numFmtId="2" fontId="9" fillId="2" borderId="0" xfId="0" applyNumberFormat="1" applyFont="1" applyFill="1"/>
    <xf numFmtId="43" fontId="9" fillId="2" borderId="0" xfId="3" applyFont="1" applyFill="1"/>
    <xf numFmtId="0" fontId="8" fillId="2" borderId="0" xfId="0" applyFont="1" applyFill="1"/>
    <xf numFmtId="0" fontId="9" fillId="2" borderId="0" xfId="0" applyFont="1" applyFill="1" applyAlignment="1">
      <alignment horizontal="center"/>
    </xf>
    <xf numFmtId="0" fontId="9" fillId="2" borderId="0" xfId="0" applyFont="1" applyFill="1" applyBorder="1" applyAlignment="1">
      <alignment horizontal="center"/>
    </xf>
    <xf numFmtId="0" fontId="9" fillId="2" borderId="1" xfId="0" applyFont="1" applyFill="1" applyBorder="1" applyAlignment="1">
      <alignment horizontal="center"/>
    </xf>
    <xf numFmtId="167" fontId="9" fillId="2" borderId="0" xfId="0" applyNumberFormat="1" applyFont="1" applyFill="1" applyAlignment="1">
      <alignment horizontal="center"/>
    </xf>
    <xf numFmtId="44" fontId="9" fillId="2" borderId="0" xfId="0" applyNumberFormat="1" applyFont="1" applyFill="1" applyAlignment="1">
      <alignment horizontal="center"/>
    </xf>
    <xf numFmtId="167" fontId="9" fillId="2" borderId="0" xfId="0" applyNumberFormat="1" applyFont="1" applyFill="1" applyBorder="1" applyAlignment="1">
      <alignment horizontal="center"/>
    </xf>
    <xf numFmtId="44" fontId="9" fillId="2" borderId="0" xfId="0" applyNumberFormat="1" applyFont="1" applyFill="1" applyBorder="1" applyAlignment="1">
      <alignment horizontal="center"/>
    </xf>
    <xf numFmtId="167" fontId="9" fillId="2" borderId="1" xfId="0" applyNumberFormat="1" applyFont="1" applyFill="1" applyBorder="1" applyAlignment="1">
      <alignment horizontal="center"/>
    </xf>
    <xf numFmtId="44" fontId="9" fillId="2" borderId="1" xfId="0" applyNumberFormat="1" applyFont="1" applyFill="1" applyBorder="1" applyAlignment="1">
      <alignment horizontal="center"/>
    </xf>
    <xf numFmtId="166" fontId="0" fillId="0" borderId="0" xfId="0" applyNumberFormat="1"/>
    <xf numFmtId="166" fontId="0" fillId="7" borderId="0" xfId="0" applyNumberFormat="1" applyFill="1"/>
    <xf numFmtId="43" fontId="0" fillId="3" borderId="0" xfId="3" applyFont="1" applyFill="1"/>
    <xf numFmtId="0" fontId="0" fillId="8" borderId="0" xfId="0" applyFill="1"/>
    <xf numFmtId="9" fontId="0" fillId="8" borderId="0" xfId="0" applyNumberFormat="1" applyFill="1"/>
    <xf numFmtId="9" fontId="0" fillId="5" borderId="0" xfId="0" applyNumberFormat="1" applyFill="1"/>
    <xf numFmtId="9" fontId="0" fillId="3" borderId="0" xfId="2" applyFont="1" applyFill="1"/>
    <xf numFmtId="0" fontId="0" fillId="9" borderId="0" xfId="0" applyFill="1"/>
    <xf numFmtId="0" fontId="2" fillId="8" borderId="0" xfId="0" applyFont="1" applyFill="1"/>
    <xf numFmtId="2" fontId="2" fillId="8" borderId="0" xfId="0" applyNumberFormat="1" applyFont="1" applyFill="1"/>
    <xf numFmtId="8" fontId="0" fillId="8" borderId="0" xfId="3" applyNumberFormat="1" applyFont="1" applyFill="1"/>
    <xf numFmtId="44" fontId="0" fillId="8" borderId="0" xfId="0" applyNumberFormat="1" applyFill="1"/>
    <xf numFmtId="0" fontId="2" fillId="8" borderId="3" xfId="0" applyFont="1" applyFill="1" applyBorder="1"/>
    <xf numFmtId="2" fontId="2" fillId="8" borderId="4" xfId="0" applyNumberFormat="1" applyFont="1" applyFill="1" applyBorder="1"/>
    <xf numFmtId="44" fontId="0" fillId="8" borderId="4" xfId="0" applyNumberFormat="1" applyFill="1" applyBorder="1"/>
    <xf numFmtId="44" fontId="0" fillId="8" borderId="5" xfId="0" applyNumberFormat="1" applyFill="1" applyBorder="1"/>
    <xf numFmtId="9" fontId="0" fillId="0" borderId="0" xfId="0" applyNumberFormat="1"/>
    <xf numFmtId="9" fontId="0" fillId="0" borderId="0" xfId="2" applyFont="1"/>
    <xf numFmtId="164" fontId="2" fillId="8" borderId="0" xfId="2" applyNumberFormat="1" applyFont="1" applyFill="1"/>
    <xf numFmtId="0" fontId="2" fillId="8" borderId="0" xfId="0" applyFont="1" applyFill="1" applyBorder="1"/>
    <xf numFmtId="1" fontId="0" fillId="8" borderId="0" xfId="0" applyNumberFormat="1" applyFill="1"/>
    <xf numFmtId="44" fontId="0" fillId="8" borderId="0" xfId="0" applyNumberFormat="1" applyFill="1" applyBorder="1"/>
    <xf numFmtId="167" fontId="0" fillId="8" borderId="0" xfId="0" applyNumberFormat="1" applyFill="1"/>
    <xf numFmtId="168" fontId="0" fillId="10" borderId="0" xfId="0" applyNumberFormat="1" applyFill="1"/>
    <xf numFmtId="9" fontId="0" fillId="9" borderId="0" xfId="0" applyNumberFormat="1" applyFill="1"/>
    <xf numFmtId="0" fontId="5" fillId="8" borderId="0" xfId="0" applyFont="1" applyFill="1"/>
    <xf numFmtId="164" fontId="5" fillId="8" borderId="0" xfId="2" applyNumberFormat="1" applyFont="1" applyFill="1"/>
    <xf numFmtId="0" fontId="2" fillId="8" borderId="6" xfId="0" applyFont="1" applyFill="1" applyBorder="1"/>
    <xf numFmtId="8" fontId="0" fillId="8" borderId="0" xfId="0" applyNumberFormat="1" applyFill="1"/>
    <xf numFmtId="167" fontId="0" fillId="7" borderId="0" xfId="0" applyNumberFormat="1" applyFill="1"/>
    <xf numFmtId="168" fontId="0" fillId="7" borderId="0" xfId="0" applyNumberFormat="1" applyFill="1"/>
    <xf numFmtId="10" fontId="0" fillId="2" borderId="0" xfId="0" applyNumberFormat="1" applyFill="1"/>
    <xf numFmtId="8" fontId="0" fillId="8" borderId="2" xfId="1" applyNumberFormat="1" applyFont="1" applyFill="1" applyBorder="1"/>
    <xf numFmtId="164" fontId="0" fillId="8" borderId="0" xfId="2" applyNumberFormat="1" applyFont="1" applyFill="1" applyBorder="1"/>
    <xf numFmtId="166" fontId="0" fillId="3" borderId="0" xfId="0" applyNumberFormat="1" applyFill="1"/>
    <xf numFmtId="44" fontId="0" fillId="3" borderId="0" xfId="0" applyNumberFormat="1" applyFill="1"/>
    <xf numFmtId="167" fontId="0" fillId="4" borderId="0" xfId="0" applyNumberFormat="1" applyFill="1"/>
    <xf numFmtId="0" fontId="11" fillId="3" borderId="0" xfId="4" applyFill="1"/>
    <xf numFmtId="43" fontId="0" fillId="4" borderId="0" xfId="3" applyFont="1" applyFill="1"/>
    <xf numFmtId="10" fontId="0" fillId="7" borderId="0" xfId="2" applyNumberFormat="1" applyFont="1" applyFill="1"/>
    <xf numFmtId="10" fontId="2" fillId="7" borderId="0" xfId="0" applyNumberFormat="1" applyFont="1" applyFill="1"/>
    <xf numFmtId="164" fontId="2" fillId="4" borderId="0" xfId="0" applyNumberFormat="1" applyFont="1" applyFill="1"/>
    <xf numFmtId="0" fontId="10" fillId="8" borderId="0" xfId="0" applyFont="1" applyFill="1"/>
    <xf numFmtId="10" fontId="10" fillId="8" borderId="0" xfId="2" applyNumberFormat="1" applyFont="1" applyFill="1"/>
    <xf numFmtId="0" fontId="7" fillId="3" borderId="0" xfId="0" applyFont="1" applyFill="1" applyAlignment="1">
      <alignment horizontal="center"/>
    </xf>
    <xf numFmtId="8" fontId="0" fillId="0" borderId="0" xfId="0" applyNumberFormat="1"/>
    <xf numFmtId="43" fontId="0" fillId="0" borderId="0" xfId="3" applyFont="1"/>
    <xf numFmtId="43" fontId="0" fillId="0" borderId="0" xfId="0" applyNumberFormat="1"/>
    <xf numFmtId="43" fontId="0" fillId="8" borderId="0" xfId="3" applyFont="1" applyFill="1"/>
    <xf numFmtId="10" fontId="0" fillId="0" borderId="0" xfId="0" applyNumberFormat="1"/>
    <xf numFmtId="2" fontId="0" fillId="8" borderId="0" xfId="0" applyNumberFormat="1" applyFill="1"/>
    <xf numFmtId="164" fontId="0" fillId="8" borderId="0" xfId="0" applyNumberFormat="1" applyFill="1"/>
    <xf numFmtId="0" fontId="2" fillId="7" borderId="0" xfId="0" applyFont="1" applyFill="1" applyAlignment="1">
      <alignment horizontal="center"/>
    </xf>
    <xf numFmtId="44" fontId="5" fillId="5" borderId="0" xfId="1" applyFont="1" applyFill="1"/>
    <xf numFmtId="0" fontId="2" fillId="4" borderId="0" xfId="0" applyFont="1" applyFill="1" applyAlignment="1">
      <alignment horizontal="center"/>
    </xf>
    <xf numFmtId="0" fontId="2" fillId="5" borderId="0" xfId="0" applyFont="1" applyFill="1" applyAlignment="1">
      <alignment horizontal="center"/>
    </xf>
    <xf numFmtId="44" fontId="0" fillId="4" borderId="0" xfId="0" applyNumberFormat="1" applyFill="1" applyAlignment="1">
      <alignment horizontal="center"/>
    </xf>
    <xf numFmtId="164" fontId="0" fillId="4" borderId="0" xfId="0" applyNumberFormat="1" applyFill="1" applyAlignment="1">
      <alignment horizontal="center"/>
    </xf>
    <xf numFmtId="164" fontId="0" fillId="4" borderId="0" xfId="2" applyNumberFormat="1" applyFont="1" applyFill="1" applyAlignment="1">
      <alignment horizontal="center"/>
    </xf>
    <xf numFmtId="9" fontId="0" fillId="4" borderId="0" xfId="0" applyNumberFormat="1" applyFill="1" applyAlignment="1">
      <alignment horizontal="left"/>
    </xf>
    <xf numFmtId="9" fontId="0" fillId="4" borderId="0" xfId="2" applyFont="1" applyFill="1" applyAlignment="1">
      <alignment horizontal="left"/>
    </xf>
    <xf numFmtId="9" fontId="0" fillId="5" borderId="0" xfId="0" applyNumberFormat="1" applyFill="1" applyAlignment="1">
      <alignment horizontal="left"/>
    </xf>
    <xf numFmtId="44" fontId="0" fillId="5" borderId="0" xfId="0" applyNumberFormat="1" applyFill="1" applyAlignment="1">
      <alignment horizontal="center"/>
    </xf>
    <xf numFmtId="164" fontId="0" fillId="5" borderId="0" xfId="0" applyNumberFormat="1" applyFill="1" applyAlignment="1">
      <alignment horizontal="center"/>
    </xf>
    <xf numFmtId="9" fontId="0" fillId="5" borderId="0" xfId="2" applyFont="1" applyFill="1" applyAlignment="1">
      <alignment horizontal="left"/>
    </xf>
    <xf numFmtId="164" fontId="0" fillId="5" borderId="0" xfId="2" applyNumberFormat="1" applyFont="1" applyFill="1" applyAlignment="1">
      <alignment horizontal="center"/>
    </xf>
    <xf numFmtId="0" fontId="0" fillId="7" borderId="0" xfId="0" applyFill="1" applyAlignment="1">
      <alignment horizontal="center"/>
    </xf>
    <xf numFmtId="9" fontId="0" fillId="7" borderId="0" xfId="0" applyNumberFormat="1" applyFill="1" applyAlignment="1">
      <alignment horizontal="center"/>
    </xf>
    <xf numFmtId="0" fontId="5" fillId="4" borderId="0" xfId="0" applyFont="1" applyFill="1" applyAlignment="1">
      <alignment horizontal="left"/>
    </xf>
    <xf numFmtId="0" fontId="5" fillId="5" borderId="0" xfId="0" applyFont="1" applyFill="1" applyAlignment="1">
      <alignment horizontal="left"/>
    </xf>
    <xf numFmtId="164" fontId="0" fillId="5" borderId="0" xfId="0" applyNumberFormat="1" applyFill="1" applyAlignment="1">
      <alignment horizontal="left"/>
    </xf>
    <xf numFmtId="164" fontId="0" fillId="5" borderId="0" xfId="2" applyNumberFormat="1" applyFont="1" applyFill="1" applyAlignment="1">
      <alignment horizontal="left"/>
    </xf>
    <xf numFmtId="164" fontId="0" fillId="4" borderId="0" xfId="0" applyNumberFormat="1" applyFill="1" applyAlignment="1">
      <alignment horizontal="left"/>
    </xf>
    <xf numFmtId="164" fontId="0" fillId="4" borderId="0" xfId="2" applyNumberFormat="1" applyFont="1" applyFill="1" applyAlignment="1">
      <alignment horizontal="left"/>
    </xf>
    <xf numFmtId="0" fontId="0" fillId="0" borderId="0" xfId="0" applyFill="1" applyBorder="1" applyAlignment="1"/>
    <xf numFmtId="9" fontId="0" fillId="0" borderId="0" xfId="0" applyNumberFormat="1" applyFill="1" applyBorder="1" applyAlignment="1"/>
    <xf numFmtId="0" fontId="0" fillId="0" borderId="2" xfId="0" applyFill="1" applyBorder="1" applyAlignment="1"/>
    <xf numFmtId="0" fontId="12" fillId="11" borderId="7" xfId="0" applyFont="1" applyFill="1" applyBorder="1" applyAlignment="1">
      <alignment horizontal="right"/>
    </xf>
    <xf numFmtId="0" fontId="12" fillId="11" borderId="1" xfId="0" applyFont="1" applyFill="1" applyBorder="1" applyAlignment="1">
      <alignment horizontal="right"/>
    </xf>
    <xf numFmtId="9" fontId="0" fillId="13" borderId="0" xfId="0" applyNumberFormat="1" applyFill="1" applyBorder="1" applyAlignment="1"/>
    <xf numFmtId="0" fontId="13" fillId="0" borderId="0" xfId="0" applyFont="1" applyFill="1" applyBorder="1" applyAlignment="1">
      <alignment vertical="top" wrapText="1"/>
    </xf>
    <xf numFmtId="44" fontId="0" fillId="0" borderId="0" xfId="0" applyNumberFormat="1" applyFill="1" applyBorder="1" applyAlignment="1"/>
    <xf numFmtId="164" fontId="0" fillId="0" borderId="0" xfId="0" applyNumberFormat="1" applyFill="1" applyBorder="1" applyAlignment="1"/>
    <xf numFmtId="2" fontId="0" fillId="0" borderId="0" xfId="0" applyNumberFormat="1" applyFill="1" applyBorder="1" applyAlignment="1"/>
    <xf numFmtId="2" fontId="0" fillId="0" borderId="8" xfId="0" applyNumberFormat="1" applyFill="1" applyBorder="1" applyAlignment="1"/>
    <xf numFmtId="44" fontId="0" fillId="2" borderId="0" xfId="1" applyFont="1" applyFill="1"/>
    <xf numFmtId="44" fontId="2" fillId="3" borderId="10"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9" xfId="0" applyFont="1" applyFill="1" applyBorder="1" applyAlignment="1">
      <alignment horizontal="center"/>
    </xf>
    <xf numFmtId="169" fontId="0" fillId="3" borderId="0" xfId="0" applyNumberFormat="1" applyFill="1"/>
    <xf numFmtId="169" fontId="0" fillId="3" borderId="11" xfId="0" applyNumberFormat="1" applyFill="1" applyBorder="1"/>
    <xf numFmtId="0" fontId="2" fillId="3" borderId="12" xfId="0" applyFont="1" applyFill="1" applyBorder="1" applyAlignment="1">
      <alignment horizontal="center" vertical="center"/>
    </xf>
    <xf numFmtId="169" fontId="0" fillId="3" borderId="13" xfId="0" applyNumberFormat="1" applyFill="1" applyBorder="1"/>
    <xf numFmtId="169" fontId="0" fillId="3" borderId="14" xfId="0" applyNumberFormat="1" applyFill="1" applyBorder="1"/>
    <xf numFmtId="0" fontId="2" fillId="3" borderId="15" xfId="0" applyFont="1" applyFill="1" applyBorder="1" applyAlignment="1">
      <alignment horizontal="center"/>
    </xf>
    <xf numFmtId="169" fontId="0" fillId="3" borderId="4" xfId="0" applyNumberFormat="1" applyFill="1" applyBorder="1"/>
    <xf numFmtId="169" fontId="0" fillId="3" borderId="5" xfId="0" applyNumberFormat="1" applyFill="1" applyBorder="1"/>
    <xf numFmtId="43" fontId="0" fillId="2" borderId="0" xfId="3" applyFont="1" applyFill="1"/>
    <xf numFmtId="43" fontId="2" fillId="0" borderId="0" xfId="0" applyNumberFormat="1" applyFont="1"/>
    <xf numFmtId="9" fontId="0" fillId="0" borderId="0" xfId="3" applyNumberFormat="1" applyFont="1"/>
    <xf numFmtId="170" fontId="0" fillId="3" borderId="0" xfId="0" applyNumberFormat="1" applyFill="1"/>
    <xf numFmtId="0" fontId="0" fillId="0" borderId="0" xfId="0" applyFont="1"/>
    <xf numFmtId="171" fontId="0" fillId="0" borderId="0" xfId="0" applyNumberFormat="1" applyFont="1"/>
    <xf numFmtId="2" fontId="2" fillId="3" borderId="0" xfId="0" applyNumberFormat="1" applyFont="1" applyFill="1"/>
    <xf numFmtId="0" fontId="0" fillId="0" borderId="0" xfId="0" applyAlignment="1">
      <alignment horizontal="center"/>
    </xf>
    <xf numFmtId="0" fontId="8" fillId="2" borderId="0" xfId="0" applyFont="1" applyFill="1" applyAlignment="1">
      <alignment horizontal="center"/>
    </xf>
    <xf numFmtId="0" fontId="7" fillId="0" borderId="0" xfId="0" applyFont="1" applyAlignment="1">
      <alignment horizontal="center"/>
    </xf>
    <xf numFmtId="0" fontId="6" fillId="0" borderId="0" xfId="0" applyFont="1"/>
    <xf numFmtId="0" fontId="14" fillId="0" borderId="0" xfId="0" applyFont="1" applyAlignment="1">
      <alignment horizontal="center"/>
    </xf>
    <xf numFmtId="0" fontId="14" fillId="0" borderId="0" xfId="0" applyFont="1"/>
    <xf numFmtId="0" fontId="0" fillId="0" borderId="0" xfId="0" applyFill="1"/>
    <xf numFmtId="0" fontId="7" fillId="0" borderId="0" xfId="0" applyFont="1" applyFill="1" applyAlignment="1">
      <alignment horizontal="center"/>
    </xf>
    <xf numFmtId="0" fontId="15" fillId="11" borderId="1" xfId="0" applyFont="1" applyFill="1" applyBorder="1" applyAlignment="1">
      <alignment horizontal="left"/>
    </xf>
    <xf numFmtId="0" fontId="15" fillId="11" borderId="7" xfId="0" applyFont="1" applyFill="1" applyBorder="1" applyAlignment="1">
      <alignment horizontal="left"/>
    </xf>
    <xf numFmtId="0" fontId="16" fillId="12" borderId="0" xfId="0" applyFont="1" applyFill="1" applyBorder="1" applyAlignment="1">
      <alignment horizontal="left"/>
    </xf>
    <xf numFmtId="0" fontId="17" fillId="12" borderId="2" xfId="0" applyFont="1" applyFill="1" applyBorder="1" applyAlignment="1">
      <alignment horizontal="left"/>
    </xf>
    <xf numFmtId="0" fontId="16" fillId="12" borderId="8" xfId="0" applyFont="1" applyFill="1" applyBorder="1" applyAlignment="1">
      <alignment horizontal="left"/>
    </xf>
    <xf numFmtId="0" fontId="0" fillId="0" borderId="0" xfId="0" applyAlignment="1">
      <alignment horizontal="center"/>
    </xf>
    <xf numFmtId="9" fontId="0" fillId="0" borderId="0" xfId="0" applyNumberFormat="1" applyAlignment="1">
      <alignment horizontal="center" vertical="center" textRotation="90"/>
    </xf>
    <xf numFmtId="0" fontId="2" fillId="7" borderId="0" xfId="0" applyFont="1" applyFill="1" applyAlignment="1">
      <alignment horizontal="center"/>
    </xf>
    <xf numFmtId="0" fontId="2" fillId="2" borderId="0" xfId="0" applyFont="1" applyFill="1" applyAlignment="1">
      <alignment horizontal="center"/>
    </xf>
    <xf numFmtId="0" fontId="8" fillId="2" borderId="0" xfId="0" applyFont="1" applyFill="1" applyAlignment="1">
      <alignment horizontal="center"/>
    </xf>
    <xf numFmtId="0" fontId="2" fillId="0" borderId="0" xfId="0" applyFont="1" applyFill="1"/>
  </cellXfs>
  <cellStyles count="5">
    <cellStyle name="Comma" xfId="3" builtinId="3"/>
    <cellStyle name="Currency" xfId="1" builtinId="4"/>
    <cellStyle name="Hyperlink" xfId="4" builtinId="8"/>
    <cellStyle name="Normal" xfId="0" builtinId="0"/>
    <cellStyle name="Percent" xfId="2" builtinId="5"/>
  </cellStyles>
  <dxfs count="15">
    <dxf>
      <font>
        <color rgb="FF9C0006"/>
      </font>
    </dxf>
    <dxf>
      <fill>
        <patternFill>
          <bgColor rgb="FFFF0000"/>
        </patternFill>
      </fill>
    </dxf>
    <dxf>
      <fill>
        <patternFill>
          <bgColor rgb="FFFF0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rgb="FFFF0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a:t>NPV Profiles</a:t>
            </a:r>
          </a:p>
        </c:rich>
      </c:tx>
      <c:layout>
        <c:manualLayout>
          <c:xMode val="edge"/>
          <c:yMode val="edge"/>
          <c:x val="0.42172857574959266"/>
          <c:y val="1.9476905954368393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Tools!$B$35</c:f>
              <c:strCache>
                <c:ptCount val="1"/>
                <c:pt idx="0">
                  <c:v>NPV (S)</c:v>
                </c:pt>
              </c:strCache>
            </c:strRef>
          </c:tx>
          <c:spPr>
            <a:ln w="28575" cap="rnd">
              <a:solidFill>
                <a:schemeClr val="accent1"/>
              </a:solidFill>
              <a:round/>
            </a:ln>
            <a:effectLst/>
          </c:spPr>
          <c:marker>
            <c:symbol val="none"/>
          </c:marker>
          <c:cat>
            <c:numRef>
              <c:f>Tools!$A$36:$A$60</c:f>
              <c:numCache>
                <c:formatCode>0.0%</c:formatCode>
                <c:ptCount val="25"/>
                <c:pt idx="0">
                  <c:v>0</c:v>
                </c:pt>
                <c:pt idx="1">
                  <c:v>7.0000000000000001E-3</c:v>
                </c:pt>
                <c:pt idx="2">
                  <c:v>1.4E-2</c:v>
                </c:pt>
                <c:pt idx="3">
                  <c:v>2.1000000000000001E-2</c:v>
                </c:pt>
                <c:pt idx="4">
                  <c:v>2.8000000000000001E-2</c:v>
                </c:pt>
                <c:pt idx="5">
                  <c:v>3.5000000000000003E-2</c:v>
                </c:pt>
                <c:pt idx="6">
                  <c:v>4.2000000000000003E-2</c:v>
                </c:pt>
                <c:pt idx="7">
                  <c:v>4.9000000000000002E-2</c:v>
                </c:pt>
                <c:pt idx="8">
                  <c:v>5.6000000000000001E-2</c:v>
                </c:pt>
                <c:pt idx="9">
                  <c:v>6.3E-2</c:v>
                </c:pt>
                <c:pt idx="10">
                  <c:v>7.0000000000000007E-2</c:v>
                </c:pt>
                <c:pt idx="11">
                  <c:v>7.7000000000000013E-2</c:v>
                </c:pt>
                <c:pt idx="12">
                  <c:v>8.4000000000000019E-2</c:v>
                </c:pt>
                <c:pt idx="13">
                  <c:v>9.1000000000000025E-2</c:v>
                </c:pt>
                <c:pt idx="14">
                  <c:v>9.8000000000000032E-2</c:v>
                </c:pt>
                <c:pt idx="15">
                  <c:v>0.10500000000000004</c:v>
                </c:pt>
                <c:pt idx="16">
                  <c:v>0.11200000000000004</c:v>
                </c:pt>
                <c:pt idx="17">
                  <c:v>0.11900000000000005</c:v>
                </c:pt>
                <c:pt idx="18">
                  <c:v>0.12600000000000006</c:v>
                </c:pt>
                <c:pt idx="19">
                  <c:v>0.13300000000000006</c:v>
                </c:pt>
                <c:pt idx="20">
                  <c:v>0.14000000000000007</c:v>
                </c:pt>
                <c:pt idx="21">
                  <c:v>0.14700000000000008</c:v>
                </c:pt>
                <c:pt idx="22">
                  <c:v>0.15400000000000008</c:v>
                </c:pt>
                <c:pt idx="23">
                  <c:v>0.16100000000000009</c:v>
                </c:pt>
                <c:pt idx="24">
                  <c:v>0.16800000000000009</c:v>
                </c:pt>
              </c:numCache>
            </c:numRef>
          </c:cat>
          <c:val>
            <c:numRef>
              <c:f>Tools!$B$36:$B$60</c:f>
              <c:numCache>
                <c:formatCode>0.00</c:formatCode>
                <c:ptCount val="25"/>
                <c:pt idx="0">
                  <c:v>800</c:v>
                </c:pt>
                <c:pt idx="1">
                  <c:v>748.1252084257676</c:v>
                </c:pt>
                <c:pt idx="2">
                  <c:v>697.47382695513352</c:v>
                </c:pt>
                <c:pt idx="3">
                  <c:v>648.00656817098161</c:v>
                </c:pt>
                <c:pt idx="4">
                  <c:v>599.68571280169954</c:v>
                </c:pt>
                <c:pt idx="5">
                  <c:v>552.4750356025138</c:v>
                </c:pt>
                <c:pt idx="6">
                  <c:v>506.33973526150567</c:v>
                </c:pt>
                <c:pt idx="7">
                  <c:v>461.24636808446257</c:v>
                </c:pt>
                <c:pt idx="8">
                  <c:v>417.1627852292645</c:v>
                </c:pt>
                <c:pt idx="9">
                  <c:v>374.05807327601633</c:v>
                </c:pt>
                <c:pt idx="10">
                  <c:v>331.90249793329713</c:v>
                </c:pt>
                <c:pt idx="11">
                  <c:v>290.66745069428089</c:v>
                </c:pt>
                <c:pt idx="12">
                  <c:v>250.32539826858647</c:v>
                </c:pt>
                <c:pt idx="13">
                  <c:v>210.84983462727496</c:v>
                </c:pt>
                <c:pt idx="14">
                  <c:v>172.21523550883057</c:v>
                </c:pt>
                <c:pt idx="15">
                  <c:v>134.39701524389375</c:v>
                </c:pt>
                <c:pt idx="16">
                  <c:v>97.371485765558646</c:v>
                </c:pt>
                <c:pt idx="17">
                  <c:v>61.115817680601594</c:v>
                </c:pt>
                <c:pt idx="18">
                  <c:v>25.608003284809001</c:v>
                </c:pt>
                <c:pt idx="19">
                  <c:v>-9.173178586978338</c:v>
                </c:pt>
                <c:pt idx="20">
                  <c:v>-43.248195978761487</c:v>
                </c:pt>
                <c:pt idx="21">
                  <c:v>-76.636795595406966</c:v>
                </c:pt>
                <c:pt idx="22">
                  <c:v>-109.35803303913372</c:v>
                </c:pt>
                <c:pt idx="23">
                  <c:v>-141.43030158520742</c:v>
                </c:pt>
                <c:pt idx="24">
                  <c:v>-172.87135957646205</c:v>
                </c:pt>
              </c:numCache>
            </c:numRef>
          </c:val>
          <c:smooth val="0"/>
          <c:extLst>
            <c:ext xmlns:c16="http://schemas.microsoft.com/office/drawing/2014/chart" uri="{C3380CC4-5D6E-409C-BE32-E72D297353CC}">
              <c16:uniqueId val="{00000000-55F3-4463-9568-99F205B9A2AE}"/>
            </c:ext>
          </c:extLst>
        </c:ser>
        <c:ser>
          <c:idx val="1"/>
          <c:order val="1"/>
          <c:tx>
            <c:strRef>
              <c:f>Tools!$C$35</c:f>
              <c:strCache>
                <c:ptCount val="1"/>
                <c:pt idx="0">
                  <c:v>NPV (L)</c:v>
                </c:pt>
              </c:strCache>
            </c:strRef>
          </c:tx>
          <c:spPr>
            <a:ln w="28575" cap="rnd">
              <a:solidFill>
                <a:schemeClr val="accent2"/>
              </a:solidFill>
              <a:round/>
            </a:ln>
            <a:effectLst/>
          </c:spPr>
          <c:marker>
            <c:symbol val="none"/>
          </c:marker>
          <c:cat>
            <c:numRef>
              <c:f>Tools!$A$36:$A$60</c:f>
              <c:numCache>
                <c:formatCode>0.0%</c:formatCode>
                <c:ptCount val="25"/>
                <c:pt idx="0">
                  <c:v>0</c:v>
                </c:pt>
                <c:pt idx="1">
                  <c:v>7.0000000000000001E-3</c:v>
                </c:pt>
                <c:pt idx="2">
                  <c:v>1.4E-2</c:v>
                </c:pt>
                <c:pt idx="3">
                  <c:v>2.1000000000000001E-2</c:v>
                </c:pt>
                <c:pt idx="4">
                  <c:v>2.8000000000000001E-2</c:v>
                </c:pt>
                <c:pt idx="5">
                  <c:v>3.5000000000000003E-2</c:v>
                </c:pt>
                <c:pt idx="6">
                  <c:v>4.2000000000000003E-2</c:v>
                </c:pt>
                <c:pt idx="7">
                  <c:v>4.9000000000000002E-2</c:v>
                </c:pt>
                <c:pt idx="8">
                  <c:v>5.6000000000000001E-2</c:v>
                </c:pt>
                <c:pt idx="9">
                  <c:v>6.3E-2</c:v>
                </c:pt>
                <c:pt idx="10">
                  <c:v>7.0000000000000007E-2</c:v>
                </c:pt>
                <c:pt idx="11">
                  <c:v>7.7000000000000013E-2</c:v>
                </c:pt>
                <c:pt idx="12">
                  <c:v>8.4000000000000019E-2</c:v>
                </c:pt>
                <c:pt idx="13">
                  <c:v>9.1000000000000025E-2</c:v>
                </c:pt>
                <c:pt idx="14">
                  <c:v>9.8000000000000032E-2</c:v>
                </c:pt>
                <c:pt idx="15">
                  <c:v>0.10500000000000004</c:v>
                </c:pt>
                <c:pt idx="16">
                  <c:v>0.11200000000000004</c:v>
                </c:pt>
                <c:pt idx="17">
                  <c:v>0.11900000000000005</c:v>
                </c:pt>
                <c:pt idx="18">
                  <c:v>0.12600000000000006</c:v>
                </c:pt>
                <c:pt idx="19">
                  <c:v>0.13300000000000006</c:v>
                </c:pt>
                <c:pt idx="20">
                  <c:v>0.14000000000000007</c:v>
                </c:pt>
                <c:pt idx="21">
                  <c:v>0.14700000000000008</c:v>
                </c:pt>
                <c:pt idx="22">
                  <c:v>0.15400000000000008</c:v>
                </c:pt>
                <c:pt idx="23">
                  <c:v>0.16100000000000009</c:v>
                </c:pt>
                <c:pt idx="24">
                  <c:v>0.16800000000000009</c:v>
                </c:pt>
              </c:numCache>
            </c:numRef>
          </c:cat>
          <c:val>
            <c:numRef>
              <c:f>Tools!$C$36:$C$60</c:f>
              <c:numCache>
                <c:formatCode>0.00</c:formatCode>
                <c:ptCount val="25"/>
                <c:pt idx="0">
                  <c:v>1100</c:v>
                </c:pt>
                <c:pt idx="1">
                  <c:v>1016.5531616885046</c:v>
                </c:pt>
                <c:pt idx="2">
                  <c:v>935.55032446020004</c:v>
                </c:pt>
                <c:pt idx="3">
                  <c:v>856.90112443312773</c:v>
                </c:pt>
                <c:pt idx="4">
                  <c:v>780.51918615183786</c:v>
                </c:pt>
                <c:pt idx="5">
                  <c:v>706.32191919774141</c:v>
                </c:pt>
                <c:pt idx="6">
                  <c:v>634.2303265225928</c:v>
                </c:pt>
                <c:pt idx="7">
                  <c:v>564.1688237535318</c:v>
                </c:pt>
                <c:pt idx="8">
                  <c:v>496.0650687709167</c:v>
                </c:pt>
                <c:pt idx="9">
                  <c:v>429.84980090920772</c:v>
                </c:pt>
                <c:pt idx="10">
                  <c:v>365.45668917622015</c:v>
                </c:pt>
                <c:pt idx="11">
                  <c:v>302.82218892793844</c:v>
                </c:pt>
                <c:pt idx="12">
                  <c:v>241.88540647457103</c:v>
                </c:pt>
                <c:pt idx="13">
                  <c:v>182.58797112939737</c:v>
                </c:pt>
                <c:pt idx="14">
                  <c:v>124.87391424491034</c:v>
                </c:pt>
                <c:pt idx="15">
                  <c:v>68.689554811510789</c:v>
                </c:pt>
                <c:pt idx="16">
                  <c:v>13.983391222313003</c:v>
                </c:pt>
                <c:pt idx="17">
                  <c:v>-39.294001165964801</c:v>
                </c:pt>
                <c:pt idx="18">
                  <c:v>-91.190067021700543</c:v>
                </c:pt>
                <c:pt idx="19">
                  <c:v>-141.75036289959371</c:v>
                </c:pt>
                <c:pt idx="20">
                  <c:v>-191.0186442763702</c:v>
                </c:pt>
                <c:pt idx="21">
                  <c:v>-239.03694804329371</c:v>
                </c:pt>
                <c:pt idx="22">
                  <c:v>-285.84567071970832</c:v>
                </c:pt>
                <c:pt idx="23">
                  <c:v>-331.48364263484882</c:v>
                </c:pt>
                <c:pt idx="24">
                  <c:v>-375.98819830953744</c:v>
                </c:pt>
              </c:numCache>
            </c:numRef>
          </c:val>
          <c:smooth val="0"/>
          <c:extLst>
            <c:ext xmlns:c16="http://schemas.microsoft.com/office/drawing/2014/chart" uri="{C3380CC4-5D6E-409C-BE32-E72D297353CC}">
              <c16:uniqueId val="{00000001-55F3-4463-9568-99F205B9A2AE}"/>
            </c:ext>
          </c:extLst>
        </c:ser>
        <c:dLbls>
          <c:showLegendKey val="0"/>
          <c:showVal val="0"/>
          <c:showCatName val="0"/>
          <c:showSerName val="0"/>
          <c:showPercent val="0"/>
          <c:showBubbleSize val="0"/>
        </c:dLbls>
        <c:smooth val="0"/>
        <c:axId val="223433472"/>
        <c:axId val="223435008"/>
      </c:lineChart>
      <c:catAx>
        <c:axId val="223433472"/>
        <c:scaling>
          <c:orientation val="minMax"/>
        </c:scaling>
        <c:delete val="0"/>
        <c:axPos val="b"/>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23435008"/>
        <c:crosses val="autoZero"/>
        <c:auto val="1"/>
        <c:lblAlgn val="ctr"/>
        <c:lblOffset val="100"/>
        <c:noMultiLvlLbl val="0"/>
      </c:catAx>
      <c:valAx>
        <c:axId val="2234350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23433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NPV - sens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Sens'!$I$4</c:f>
              <c:strCache>
                <c:ptCount val="1"/>
                <c:pt idx="0">
                  <c:v>NPV</c:v>
                </c:pt>
              </c:strCache>
            </c:strRef>
          </c:tx>
          <c:spPr>
            <a:ln w="28575" cap="rnd">
              <a:solidFill>
                <a:schemeClr val="accent1"/>
              </a:solidFill>
              <a:round/>
            </a:ln>
            <a:effectLst/>
          </c:spPr>
          <c:marker>
            <c:symbol val="none"/>
          </c:marker>
          <c:cat>
            <c:numRef>
              <c:f>'HEP expansion + infl + Sens'!$J$3:$N$3</c:f>
              <c:numCache>
                <c:formatCode>General</c:formatCode>
                <c:ptCount val="5"/>
                <c:pt idx="0">
                  <c:v>-10</c:v>
                </c:pt>
                <c:pt idx="1">
                  <c:v>-5</c:v>
                </c:pt>
                <c:pt idx="2">
                  <c:v>0</c:v>
                </c:pt>
                <c:pt idx="3">
                  <c:v>5</c:v>
                </c:pt>
                <c:pt idx="4">
                  <c:v>10</c:v>
                </c:pt>
              </c:numCache>
            </c:numRef>
          </c:cat>
          <c:val>
            <c:numRef>
              <c:f>'HEP expansion + infl + Sens'!$J$4:$N$4</c:f>
              <c:numCache>
                <c:formatCode>_-"£"* #,##0_-;\-"£"* #,##0_-;_-"£"* "-"??_-;_-@_-</c:formatCode>
                <c:ptCount val="5"/>
                <c:pt idx="0">
                  <c:v>1735.5898528092775</c:v>
                </c:pt>
                <c:pt idx="1">
                  <c:v>2763.3820633859973</c:v>
                </c:pt>
                <c:pt idx="2">
                  <c:v>3791.1742739627184</c:v>
                </c:pt>
                <c:pt idx="3">
                  <c:v>4818.9664845394391</c:v>
                </c:pt>
                <c:pt idx="4">
                  <c:v>5846.7586951161584</c:v>
                </c:pt>
              </c:numCache>
            </c:numRef>
          </c:val>
          <c:smooth val="0"/>
          <c:extLst>
            <c:ext xmlns:c16="http://schemas.microsoft.com/office/drawing/2014/chart" uri="{C3380CC4-5D6E-409C-BE32-E72D297353CC}">
              <c16:uniqueId val="{00000000-4668-4BFA-B0E6-F139E80E5A35}"/>
            </c:ext>
          </c:extLst>
        </c:ser>
        <c:dLbls>
          <c:showLegendKey val="0"/>
          <c:showVal val="0"/>
          <c:showCatName val="0"/>
          <c:showSerName val="0"/>
          <c:showPercent val="0"/>
          <c:showBubbleSize val="0"/>
        </c:dLbls>
        <c:smooth val="0"/>
        <c:axId val="224791936"/>
        <c:axId val="224801920"/>
      </c:lineChart>
      <c:catAx>
        <c:axId val="22479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01920"/>
        <c:crosses val="autoZero"/>
        <c:auto val="1"/>
        <c:lblAlgn val="ctr"/>
        <c:lblOffset val="100"/>
        <c:noMultiLvlLbl val="0"/>
      </c:catAx>
      <c:valAx>
        <c:axId val="22480192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91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IRR - sens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Sens'!$I$5</c:f>
              <c:strCache>
                <c:ptCount val="1"/>
                <c:pt idx="0">
                  <c:v>IRR</c:v>
                </c:pt>
              </c:strCache>
            </c:strRef>
          </c:tx>
          <c:spPr>
            <a:ln w="28575" cap="rnd">
              <a:solidFill>
                <a:schemeClr val="accent1"/>
              </a:solidFill>
              <a:round/>
            </a:ln>
            <a:effectLst/>
          </c:spPr>
          <c:marker>
            <c:symbol val="none"/>
          </c:marker>
          <c:cat>
            <c:numRef>
              <c:f>'HEP expansion + infl + Sens'!$J$3:$N$3</c:f>
              <c:numCache>
                <c:formatCode>General</c:formatCode>
                <c:ptCount val="5"/>
                <c:pt idx="0">
                  <c:v>-10</c:v>
                </c:pt>
                <c:pt idx="1">
                  <c:v>-5</c:v>
                </c:pt>
                <c:pt idx="2">
                  <c:v>0</c:v>
                </c:pt>
                <c:pt idx="3">
                  <c:v>5</c:v>
                </c:pt>
                <c:pt idx="4">
                  <c:v>10</c:v>
                </c:pt>
              </c:numCache>
            </c:numRef>
          </c:cat>
          <c:val>
            <c:numRef>
              <c:f>'HEP expansion + infl + Sens'!$J$5:$N$5</c:f>
              <c:numCache>
                <c:formatCode>0.0%</c:formatCode>
                <c:ptCount val="5"/>
                <c:pt idx="0">
                  <c:v>0.2023778599893824</c:v>
                </c:pt>
                <c:pt idx="1">
                  <c:v>0.23296092188887152</c:v>
                </c:pt>
                <c:pt idx="2">
                  <c:v>0.26325251341756095</c:v>
                </c:pt>
                <c:pt idx="3">
                  <c:v>0.29327531904792936</c:v>
                </c:pt>
                <c:pt idx="4">
                  <c:v>0.32304978391392436</c:v>
                </c:pt>
              </c:numCache>
            </c:numRef>
          </c:val>
          <c:smooth val="0"/>
          <c:extLst>
            <c:ext xmlns:c16="http://schemas.microsoft.com/office/drawing/2014/chart" uri="{C3380CC4-5D6E-409C-BE32-E72D297353CC}">
              <c16:uniqueId val="{00000000-4668-4BFA-B0E6-F139E80E5A35}"/>
            </c:ext>
          </c:extLst>
        </c:ser>
        <c:dLbls>
          <c:showLegendKey val="0"/>
          <c:showVal val="0"/>
          <c:showCatName val="0"/>
          <c:showSerName val="0"/>
          <c:showPercent val="0"/>
          <c:showBubbleSize val="0"/>
        </c:dLbls>
        <c:smooth val="0"/>
        <c:axId val="224826496"/>
        <c:axId val="224828032"/>
      </c:lineChart>
      <c:catAx>
        <c:axId val="22482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28032"/>
        <c:crosses val="autoZero"/>
        <c:auto val="1"/>
        <c:lblAlgn val="ctr"/>
        <c:lblOffset val="100"/>
        <c:noMultiLvlLbl val="0"/>
      </c:catAx>
      <c:valAx>
        <c:axId val="2248280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26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NPV - sens VC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Sens'!$I$12</c:f>
              <c:strCache>
                <c:ptCount val="1"/>
                <c:pt idx="0">
                  <c:v>NPV</c:v>
                </c:pt>
              </c:strCache>
            </c:strRef>
          </c:tx>
          <c:spPr>
            <a:ln w="28575" cap="rnd">
              <a:solidFill>
                <a:schemeClr val="accent1"/>
              </a:solidFill>
              <a:round/>
            </a:ln>
            <a:effectLst/>
          </c:spPr>
          <c:marker>
            <c:symbol val="none"/>
          </c:marker>
          <c:cat>
            <c:numRef>
              <c:f>'HEP expansion + infl + Sens'!$J$3:$N$3</c:f>
              <c:numCache>
                <c:formatCode>General</c:formatCode>
                <c:ptCount val="5"/>
                <c:pt idx="0">
                  <c:v>-10</c:v>
                </c:pt>
                <c:pt idx="1">
                  <c:v>-5</c:v>
                </c:pt>
                <c:pt idx="2">
                  <c:v>0</c:v>
                </c:pt>
                <c:pt idx="3">
                  <c:v>5</c:v>
                </c:pt>
                <c:pt idx="4">
                  <c:v>10</c:v>
                </c:pt>
              </c:numCache>
            </c:numRef>
          </c:cat>
          <c:val>
            <c:numRef>
              <c:f>'HEP expansion + infl + Sens'!$J$12:$N$12</c:f>
              <c:numCache>
                <c:formatCode>_-"£"* #,##0_-;\-"£"* #,##0_-;_-"£"* "-"??_-;_-@_-</c:formatCode>
                <c:ptCount val="5"/>
                <c:pt idx="0">
                  <c:v>6874.5509056928749</c:v>
                </c:pt>
                <c:pt idx="1">
                  <c:v>5332.8625898277996</c:v>
                </c:pt>
                <c:pt idx="2">
                  <c:v>3791.1742739627184</c:v>
                </c:pt>
                <c:pt idx="3">
                  <c:v>2249.485958097639</c:v>
                </c:pt>
                <c:pt idx="4">
                  <c:v>707.79764223255734</c:v>
                </c:pt>
              </c:numCache>
            </c:numRef>
          </c:val>
          <c:smooth val="0"/>
          <c:extLst>
            <c:ext xmlns:c16="http://schemas.microsoft.com/office/drawing/2014/chart" uri="{C3380CC4-5D6E-409C-BE32-E72D297353CC}">
              <c16:uniqueId val="{00000000-4668-4BFA-B0E6-F139E80E5A35}"/>
            </c:ext>
          </c:extLst>
        </c:ser>
        <c:dLbls>
          <c:showLegendKey val="0"/>
          <c:showVal val="0"/>
          <c:showCatName val="0"/>
          <c:showSerName val="0"/>
          <c:showPercent val="0"/>
          <c:showBubbleSize val="0"/>
        </c:dLbls>
        <c:smooth val="0"/>
        <c:axId val="224852608"/>
        <c:axId val="224665984"/>
      </c:lineChart>
      <c:catAx>
        <c:axId val="22485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665984"/>
        <c:crosses val="autoZero"/>
        <c:auto val="1"/>
        <c:lblAlgn val="ctr"/>
        <c:lblOffset val="100"/>
        <c:noMultiLvlLbl val="0"/>
      </c:catAx>
      <c:valAx>
        <c:axId val="2246659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52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IRR - sens VC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Sens'!$I$13</c:f>
              <c:strCache>
                <c:ptCount val="1"/>
                <c:pt idx="0">
                  <c:v>IRR</c:v>
                </c:pt>
              </c:strCache>
            </c:strRef>
          </c:tx>
          <c:spPr>
            <a:ln w="28575" cap="rnd">
              <a:solidFill>
                <a:schemeClr val="accent1"/>
              </a:solidFill>
              <a:round/>
            </a:ln>
            <a:effectLst/>
          </c:spPr>
          <c:marker>
            <c:symbol val="none"/>
          </c:marker>
          <c:cat>
            <c:numRef>
              <c:f>'HEP expansion + infl + Sens'!$J$3:$N$3</c:f>
              <c:numCache>
                <c:formatCode>General</c:formatCode>
                <c:ptCount val="5"/>
                <c:pt idx="0">
                  <c:v>-10</c:v>
                </c:pt>
                <c:pt idx="1">
                  <c:v>-5</c:v>
                </c:pt>
                <c:pt idx="2">
                  <c:v>0</c:v>
                </c:pt>
                <c:pt idx="3">
                  <c:v>5</c:v>
                </c:pt>
                <c:pt idx="4">
                  <c:v>10</c:v>
                </c:pt>
              </c:numCache>
            </c:numRef>
          </c:cat>
          <c:val>
            <c:numRef>
              <c:f>'HEP expansion + infl + Sens'!$J$13:$N$13</c:f>
              <c:numCache>
                <c:formatCode>0.0%</c:formatCode>
                <c:ptCount val="5"/>
                <c:pt idx="0">
                  <c:v>0.35259438460974324</c:v>
                </c:pt>
                <c:pt idx="1">
                  <c:v>0.30819239604459758</c:v>
                </c:pt>
                <c:pt idx="2">
                  <c:v>0.26325251341756095</c:v>
                </c:pt>
                <c:pt idx="3">
                  <c:v>0.21770733830549172</c:v>
                </c:pt>
                <c:pt idx="4">
                  <c:v>0.17147808681448407</c:v>
                </c:pt>
              </c:numCache>
            </c:numRef>
          </c:val>
          <c:smooth val="0"/>
          <c:extLst>
            <c:ext xmlns:c16="http://schemas.microsoft.com/office/drawing/2014/chart" uri="{C3380CC4-5D6E-409C-BE32-E72D297353CC}">
              <c16:uniqueId val="{00000000-4668-4BFA-B0E6-F139E80E5A35}"/>
            </c:ext>
          </c:extLst>
        </c:ser>
        <c:dLbls>
          <c:showLegendKey val="0"/>
          <c:showVal val="0"/>
          <c:showCatName val="0"/>
          <c:showSerName val="0"/>
          <c:showPercent val="0"/>
          <c:showBubbleSize val="0"/>
        </c:dLbls>
        <c:smooth val="0"/>
        <c:axId val="224706944"/>
        <c:axId val="224708480"/>
      </c:lineChart>
      <c:catAx>
        <c:axId val="22470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08480"/>
        <c:crosses val="autoZero"/>
        <c:auto val="1"/>
        <c:lblAlgn val="ctr"/>
        <c:lblOffset val="100"/>
        <c:noMultiLvlLbl val="0"/>
      </c:catAx>
      <c:valAx>
        <c:axId val="2247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06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Sens'!$B$63</c:f>
              <c:strCache>
                <c:ptCount val="1"/>
                <c:pt idx="0">
                  <c:v>Units sold</c:v>
                </c:pt>
              </c:strCache>
            </c:strRef>
          </c:tx>
          <c:spPr>
            <a:ln w="28575" cap="rnd">
              <a:solidFill>
                <a:schemeClr val="accent1"/>
              </a:solidFill>
              <a:round/>
            </a:ln>
            <a:effectLst/>
          </c:spPr>
          <c:marker>
            <c:symbol val="none"/>
          </c:marker>
          <c:cat>
            <c:numRef>
              <c:f>'HEP expansion + infl + Sens'!$A$66:$A$86</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infl + Sens'!$C$66:$C$86</c:f>
              <c:numCache>
                <c:formatCode>_("£"* #,##0.00_);_("£"* \(#,##0.00\);_("£"* "-"??_);_(@_)</c:formatCode>
                <c:ptCount val="21"/>
                <c:pt idx="0">
                  <c:v>-7776.7089168492093</c:v>
                </c:pt>
                <c:pt idx="1">
                  <c:v>-6063.7218992213402</c:v>
                </c:pt>
                <c:pt idx="2">
                  <c:v>-4495.3141248065849</c:v>
                </c:pt>
                <c:pt idx="3">
                  <c:v>-3419.1515896526962</c:v>
                </c:pt>
                <c:pt idx="4">
                  <c:v>-2375.578989497606</c:v>
                </c:pt>
                <c:pt idx="5">
                  <c:v>-1347.7867789208849</c:v>
                </c:pt>
                <c:pt idx="6">
                  <c:v>-319.99456834416651</c:v>
                </c:pt>
                <c:pt idx="7">
                  <c:v>707.79764223255734</c:v>
                </c:pt>
                <c:pt idx="8">
                  <c:v>1735.5898528092775</c:v>
                </c:pt>
                <c:pt idx="9">
                  <c:v>2763.3820633859973</c:v>
                </c:pt>
                <c:pt idx="10">
                  <c:v>3791.1742739627184</c:v>
                </c:pt>
                <c:pt idx="11">
                  <c:v>4818.9664845394391</c:v>
                </c:pt>
                <c:pt idx="12">
                  <c:v>5846.7586951161538</c:v>
                </c:pt>
                <c:pt idx="13">
                  <c:v>6874.5509056928813</c:v>
                </c:pt>
                <c:pt idx="14">
                  <c:v>7902.3431162696006</c:v>
                </c:pt>
                <c:pt idx="15">
                  <c:v>8930.1353268463208</c:v>
                </c:pt>
                <c:pt idx="16">
                  <c:v>9957.9275374230347</c:v>
                </c:pt>
                <c:pt idx="17">
                  <c:v>10985.719747999758</c:v>
                </c:pt>
                <c:pt idx="18">
                  <c:v>12013.511958576484</c:v>
                </c:pt>
                <c:pt idx="19">
                  <c:v>13041.304169153203</c:v>
                </c:pt>
                <c:pt idx="20">
                  <c:v>14069.096379729925</c:v>
                </c:pt>
              </c:numCache>
            </c:numRef>
          </c:val>
          <c:smooth val="0"/>
          <c:extLst>
            <c:ext xmlns:c16="http://schemas.microsoft.com/office/drawing/2014/chart" uri="{C3380CC4-5D6E-409C-BE32-E72D297353CC}">
              <c16:uniqueId val="{00000000-CEEE-4157-A59C-B974CF8A16BB}"/>
            </c:ext>
          </c:extLst>
        </c:ser>
        <c:dLbls>
          <c:showLegendKey val="0"/>
          <c:showVal val="0"/>
          <c:showCatName val="0"/>
          <c:showSerName val="0"/>
          <c:showPercent val="0"/>
          <c:showBubbleSize val="0"/>
        </c:dLbls>
        <c:smooth val="0"/>
        <c:axId val="224730112"/>
        <c:axId val="224736000"/>
      </c:lineChart>
      <c:catAx>
        <c:axId val="22473011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36000"/>
        <c:crosses val="autoZero"/>
        <c:auto val="1"/>
        <c:lblAlgn val="ctr"/>
        <c:lblOffset val="100"/>
        <c:noMultiLvlLbl val="0"/>
      </c:catAx>
      <c:valAx>
        <c:axId val="2247360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30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Sens'!$I$63</c:f>
              <c:strCache>
                <c:ptCount val="1"/>
                <c:pt idx="0">
                  <c:v>Variable Costs</c:v>
                </c:pt>
              </c:strCache>
            </c:strRef>
          </c:tx>
          <c:spPr>
            <a:ln w="28575" cap="rnd">
              <a:solidFill>
                <a:schemeClr val="accent1"/>
              </a:solidFill>
              <a:round/>
            </a:ln>
            <a:effectLst/>
          </c:spPr>
          <c:marker>
            <c:symbol val="none"/>
          </c:marker>
          <c:cat>
            <c:numRef>
              <c:f>'HEP expansion + infl + Sens'!$A$66:$A$86</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infl + Sens'!$J$66:$J$86</c:f>
              <c:numCache>
                <c:formatCode>_("£"* #,##0.00_);_("£"* \(#,##0.00\);_("£"* "-"??_);_(@_)</c:formatCode>
                <c:ptCount val="21"/>
                <c:pt idx="0">
                  <c:v>19208.057432613525</c:v>
                </c:pt>
                <c:pt idx="1">
                  <c:v>17666.369116748447</c:v>
                </c:pt>
                <c:pt idx="2">
                  <c:v>16124.680800883365</c:v>
                </c:pt>
                <c:pt idx="3">
                  <c:v>14582.992485018283</c:v>
                </c:pt>
                <c:pt idx="4">
                  <c:v>13041.304169153203</c:v>
                </c:pt>
                <c:pt idx="5">
                  <c:v>11499.615853288124</c:v>
                </c:pt>
                <c:pt idx="6">
                  <c:v>9957.9275374230456</c:v>
                </c:pt>
                <c:pt idx="7">
                  <c:v>8416.2392215579639</c:v>
                </c:pt>
                <c:pt idx="8">
                  <c:v>6874.5509056928822</c:v>
                </c:pt>
                <c:pt idx="9">
                  <c:v>5332.8625898277996</c:v>
                </c:pt>
                <c:pt idx="10">
                  <c:v>3791.1742739627243</c:v>
                </c:pt>
                <c:pt idx="11">
                  <c:v>2249.4859580976436</c:v>
                </c:pt>
                <c:pt idx="12">
                  <c:v>707.79764223256279</c:v>
                </c:pt>
                <c:pt idx="13">
                  <c:v>-833.89067363252525</c:v>
                </c:pt>
                <c:pt idx="14">
                  <c:v>-2375.578989497606</c:v>
                </c:pt>
                <c:pt idx="15">
                  <c:v>-3948.9996104930988</c:v>
                </c:pt>
                <c:pt idx="16">
                  <c:v>-6063.7218992213311</c:v>
                </c:pt>
                <c:pt idx="17">
                  <c:v>-8633.202425663143</c:v>
                </c:pt>
                <c:pt idx="18">
                  <c:v>-11202.682952104944</c:v>
                </c:pt>
                <c:pt idx="19">
                  <c:v>-13772.163478546745</c:v>
                </c:pt>
                <c:pt idx="20">
                  <c:v>-16341.64400498854</c:v>
                </c:pt>
              </c:numCache>
            </c:numRef>
          </c:val>
          <c:smooth val="0"/>
          <c:extLst>
            <c:ext xmlns:c16="http://schemas.microsoft.com/office/drawing/2014/chart" uri="{C3380CC4-5D6E-409C-BE32-E72D297353CC}">
              <c16:uniqueId val="{00000000-CEEE-4157-A59C-B974CF8A16BB}"/>
            </c:ext>
          </c:extLst>
        </c:ser>
        <c:dLbls>
          <c:showLegendKey val="0"/>
          <c:showVal val="0"/>
          <c:showCatName val="0"/>
          <c:showSerName val="0"/>
          <c:showPercent val="0"/>
          <c:showBubbleSize val="0"/>
        </c:dLbls>
        <c:smooth val="0"/>
        <c:axId val="224781056"/>
        <c:axId val="224782592"/>
      </c:lineChart>
      <c:catAx>
        <c:axId val="22478105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82592"/>
        <c:crosses val="autoZero"/>
        <c:auto val="1"/>
        <c:lblAlgn val="ctr"/>
        <c:lblOffset val="100"/>
        <c:noMultiLvlLbl val="0"/>
      </c:catAx>
      <c:valAx>
        <c:axId val="2247825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81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'HEP expansion + infl + Sens'!$B$63</c:f>
              <c:strCache>
                <c:ptCount val="1"/>
                <c:pt idx="0">
                  <c:v>Units sold</c:v>
                </c:pt>
              </c:strCache>
            </c:strRef>
          </c:tx>
          <c:spPr>
            <a:ln w="28575" cap="rnd">
              <a:solidFill>
                <a:schemeClr val="accent1"/>
              </a:solidFill>
              <a:round/>
            </a:ln>
            <a:effectLst/>
          </c:spPr>
          <c:marker>
            <c:symbol val="none"/>
          </c:marker>
          <c:cat>
            <c:numRef>
              <c:f>'HEP expansion + infl + Sens'!$A$66:$A$86</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infl + Sens'!$C$66:$C$86</c:f>
              <c:numCache>
                <c:formatCode>_("£"* #,##0.00_);_("£"* \(#,##0.00\);_("£"* "-"??_);_(@_)</c:formatCode>
                <c:ptCount val="21"/>
                <c:pt idx="0">
                  <c:v>-7776.7089168492093</c:v>
                </c:pt>
                <c:pt idx="1">
                  <c:v>-6063.7218992213402</c:v>
                </c:pt>
                <c:pt idx="2">
                  <c:v>-4495.3141248065849</c:v>
                </c:pt>
                <c:pt idx="3">
                  <c:v>-3419.1515896526962</c:v>
                </c:pt>
                <c:pt idx="4">
                  <c:v>-2375.578989497606</c:v>
                </c:pt>
                <c:pt idx="5">
                  <c:v>-1347.7867789208849</c:v>
                </c:pt>
                <c:pt idx="6">
                  <c:v>-319.99456834416651</c:v>
                </c:pt>
                <c:pt idx="7">
                  <c:v>707.79764223255734</c:v>
                </c:pt>
                <c:pt idx="8">
                  <c:v>1735.5898528092775</c:v>
                </c:pt>
                <c:pt idx="9">
                  <c:v>2763.3820633859973</c:v>
                </c:pt>
                <c:pt idx="10">
                  <c:v>3791.1742739627184</c:v>
                </c:pt>
                <c:pt idx="11">
                  <c:v>4818.9664845394391</c:v>
                </c:pt>
                <c:pt idx="12">
                  <c:v>5846.7586951161538</c:v>
                </c:pt>
                <c:pt idx="13">
                  <c:v>6874.5509056928813</c:v>
                </c:pt>
                <c:pt idx="14">
                  <c:v>7902.3431162696006</c:v>
                </c:pt>
                <c:pt idx="15">
                  <c:v>8930.1353268463208</c:v>
                </c:pt>
                <c:pt idx="16">
                  <c:v>9957.9275374230347</c:v>
                </c:pt>
                <c:pt idx="17">
                  <c:v>10985.719747999758</c:v>
                </c:pt>
                <c:pt idx="18">
                  <c:v>12013.511958576484</c:v>
                </c:pt>
                <c:pt idx="19">
                  <c:v>13041.304169153203</c:v>
                </c:pt>
                <c:pt idx="20">
                  <c:v>14069.096379729925</c:v>
                </c:pt>
              </c:numCache>
            </c:numRef>
          </c:val>
          <c:smooth val="0"/>
          <c:extLst>
            <c:ext xmlns:c16="http://schemas.microsoft.com/office/drawing/2014/chart" uri="{C3380CC4-5D6E-409C-BE32-E72D297353CC}">
              <c16:uniqueId val="{00000000-CEEE-4157-A59C-B974CF8A16BB}"/>
            </c:ext>
          </c:extLst>
        </c:ser>
        <c:ser>
          <c:idx val="1"/>
          <c:order val="1"/>
          <c:tx>
            <c:strRef>
              <c:f>'HEP expansion + infl + Sens'!$I$63:$N$63</c:f>
              <c:strCache>
                <c:ptCount val="1"/>
                <c:pt idx="0">
                  <c:v>Variable Costs</c:v>
                </c:pt>
              </c:strCache>
            </c:strRef>
          </c:tx>
          <c:spPr>
            <a:ln w="28575" cap="rnd">
              <a:solidFill>
                <a:schemeClr val="accent2"/>
              </a:solidFill>
              <a:round/>
            </a:ln>
            <a:effectLst/>
          </c:spPr>
          <c:marker>
            <c:symbol val="none"/>
          </c:marker>
          <c:val>
            <c:numRef>
              <c:f>'HEP expansion + infl + Sens'!$J$66:$J$86</c:f>
              <c:numCache>
                <c:formatCode>_("£"* #,##0.00_);_("£"* \(#,##0.00\);_("£"* "-"??_);_(@_)</c:formatCode>
                <c:ptCount val="21"/>
                <c:pt idx="0">
                  <c:v>19208.057432613525</c:v>
                </c:pt>
                <c:pt idx="1">
                  <c:v>17666.369116748447</c:v>
                </c:pt>
                <c:pt idx="2">
                  <c:v>16124.680800883365</c:v>
                </c:pt>
                <c:pt idx="3">
                  <c:v>14582.992485018283</c:v>
                </c:pt>
                <c:pt idx="4">
                  <c:v>13041.304169153203</c:v>
                </c:pt>
                <c:pt idx="5">
                  <c:v>11499.615853288124</c:v>
                </c:pt>
                <c:pt idx="6">
                  <c:v>9957.9275374230456</c:v>
                </c:pt>
                <c:pt idx="7">
                  <c:v>8416.2392215579639</c:v>
                </c:pt>
                <c:pt idx="8">
                  <c:v>6874.5509056928822</c:v>
                </c:pt>
                <c:pt idx="9">
                  <c:v>5332.8625898277996</c:v>
                </c:pt>
                <c:pt idx="10">
                  <c:v>3791.1742739627243</c:v>
                </c:pt>
                <c:pt idx="11">
                  <c:v>2249.4859580976436</c:v>
                </c:pt>
                <c:pt idx="12">
                  <c:v>707.79764223256279</c:v>
                </c:pt>
                <c:pt idx="13">
                  <c:v>-833.89067363252525</c:v>
                </c:pt>
                <c:pt idx="14">
                  <c:v>-2375.578989497606</c:v>
                </c:pt>
                <c:pt idx="15">
                  <c:v>-3948.9996104930988</c:v>
                </c:pt>
                <c:pt idx="16">
                  <c:v>-6063.7218992213311</c:v>
                </c:pt>
                <c:pt idx="17">
                  <c:v>-8633.202425663143</c:v>
                </c:pt>
                <c:pt idx="18">
                  <c:v>-11202.682952104944</c:v>
                </c:pt>
                <c:pt idx="19">
                  <c:v>-13772.163478546745</c:v>
                </c:pt>
                <c:pt idx="20">
                  <c:v>-16341.64400498854</c:v>
                </c:pt>
              </c:numCache>
            </c:numRef>
          </c:val>
          <c:smooth val="0"/>
          <c:extLst>
            <c:ext xmlns:c16="http://schemas.microsoft.com/office/drawing/2014/chart" uri="{C3380CC4-5D6E-409C-BE32-E72D297353CC}">
              <c16:uniqueId val="{00000000-60FC-4F5A-B3D6-791863182BE2}"/>
            </c:ext>
          </c:extLst>
        </c:ser>
        <c:dLbls>
          <c:showLegendKey val="0"/>
          <c:showVal val="0"/>
          <c:showCatName val="0"/>
          <c:showSerName val="0"/>
          <c:showPercent val="0"/>
          <c:showBubbleSize val="0"/>
        </c:dLbls>
        <c:smooth val="0"/>
        <c:axId val="225397760"/>
        <c:axId val="225415936"/>
      </c:lineChart>
      <c:catAx>
        <c:axId val="2253977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15936"/>
        <c:crosses val="autoZero"/>
        <c:auto val="1"/>
        <c:lblAlgn val="ctr"/>
        <c:lblOffset val="100"/>
        <c:noMultiLvlLbl val="0"/>
      </c:catAx>
      <c:valAx>
        <c:axId val="22541593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97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GB" sz="2400"/>
              <a:t>NPV Sensitivity</a:t>
            </a:r>
          </a:p>
        </c:rich>
      </c:tx>
      <c:layout>
        <c:manualLayout>
          <c:xMode val="edge"/>
          <c:yMode val="edge"/>
          <c:x val="0.38928745017983862"/>
          <c:y val="3.8138825324180017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Sens. Units</c:v>
          </c:tx>
          <c:spPr>
            <a:ln w="28575" cap="rnd">
              <a:solidFill>
                <a:schemeClr val="accent1"/>
              </a:solidFill>
              <a:round/>
            </a:ln>
            <a:effectLst/>
          </c:spPr>
          <c:marker>
            <c:symbol val="none"/>
          </c:marker>
          <c:cat>
            <c:numRef>
              <c:f>'HEP expansion + infl + Sens'!$J$3:$N$3</c:f>
              <c:numCache>
                <c:formatCode>General</c:formatCode>
                <c:ptCount val="5"/>
                <c:pt idx="0">
                  <c:v>-10</c:v>
                </c:pt>
                <c:pt idx="1">
                  <c:v>-5</c:v>
                </c:pt>
                <c:pt idx="2">
                  <c:v>0</c:v>
                </c:pt>
                <c:pt idx="3">
                  <c:v>5</c:v>
                </c:pt>
                <c:pt idx="4">
                  <c:v>10</c:v>
                </c:pt>
              </c:numCache>
            </c:numRef>
          </c:cat>
          <c:val>
            <c:numRef>
              <c:f>'HEP expansion + infl + Sens'!$J$4:$N$4</c:f>
              <c:numCache>
                <c:formatCode>_-"£"* #,##0_-;\-"£"* #,##0_-;_-"£"* "-"??_-;_-@_-</c:formatCode>
                <c:ptCount val="5"/>
                <c:pt idx="0">
                  <c:v>1735.5898528092775</c:v>
                </c:pt>
                <c:pt idx="1">
                  <c:v>2763.3820633859973</c:v>
                </c:pt>
                <c:pt idx="2">
                  <c:v>3791.1742739627184</c:v>
                </c:pt>
                <c:pt idx="3">
                  <c:v>4818.9664845394391</c:v>
                </c:pt>
                <c:pt idx="4">
                  <c:v>5846.7586951161584</c:v>
                </c:pt>
              </c:numCache>
            </c:numRef>
          </c:val>
          <c:smooth val="0"/>
          <c:extLst>
            <c:ext xmlns:c16="http://schemas.microsoft.com/office/drawing/2014/chart" uri="{C3380CC4-5D6E-409C-BE32-E72D297353CC}">
              <c16:uniqueId val="{00000000-4024-4A8D-9E81-11696D52AD82}"/>
            </c:ext>
          </c:extLst>
        </c:ser>
        <c:ser>
          <c:idx val="1"/>
          <c:order val="1"/>
          <c:tx>
            <c:v>Sens. Var. Costs</c:v>
          </c:tx>
          <c:spPr>
            <a:ln w="28575" cap="rnd">
              <a:solidFill>
                <a:schemeClr val="accent2"/>
              </a:solidFill>
              <a:round/>
            </a:ln>
            <a:effectLst/>
          </c:spPr>
          <c:marker>
            <c:symbol val="none"/>
          </c:marker>
          <c:cat>
            <c:numRef>
              <c:f>'HEP expansion + infl + Sens'!$J$3:$N$3</c:f>
              <c:numCache>
                <c:formatCode>General</c:formatCode>
                <c:ptCount val="5"/>
                <c:pt idx="0">
                  <c:v>-10</c:v>
                </c:pt>
                <c:pt idx="1">
                  <c:v>-5</c:v>
                </c:pt>
                <c:pt idx="2">
                  <c:v>0</c:v>
                </c:pt>
                <c:pt idx="3">
                  <c:v>5</c:v>
                </c:pt>
                <c:pt idx="4">
                  <c:v>10</c:v>
                </c:pt>
              </c:numCache>
            </c:numRef>
          </c:cat>
          <c:val>
            <c:numRef>
              <c:f>'HEP expansion + infl + Sens'!$J$12:$N$12</c:f>
              <c:numCache>
                <c:formatCode>_-"£"* #,##0_-;\-"£"* #,##0_-;_-"£"* "-"??_-;_-@_-</c:formatCode>
                <c:ptCount val="5"/>
                <c:pt idx="0">
                  <c:v>6874.5509056928749</c:v>
                </c:pt>
                <c:pt idx="1">
                  <c:v>5332.8625898277996</c:v>
                </c:pt>
                <c:pt idx="2">
                  <c:v>3791.1742739627184</c:v>
                </c:pt>
                <c:pt idx="3">
                  <c:v>2249.485958097639</c:v>
                </c:pt>
                <c:pt idx="4">
                  <c:v>707.79764223255734</c:v>
                </c:pt>
              </c:numCache>
            </c:numRef>
          </c:val>
          <c:smooth val="0"/>
          <c:extLst>
            <c:ext xmlns:c16="http://schemas.microsoft.com/office/drawing/2014/chart" uri="{C3380CC4-5D6E-409C-BE32-E72D297353CC}">
              <c16:uniqueId val="{00000001-4024-4A8D-9E81-11696D52AD82}"/>
            </c:ext>
          </c:extLst>
        </c:ser>
        <c:dLbls>
          <c:showLegendKey val="0"/>
          <c:showVal val="0"/>
          <c:showCatName val="0"/>
          <c:showSerName val="0"/>
          <c:showPercent val="0"/>
          <c:showBubbleSize val="0"/>
        </c:dLbls>
        <c:smooth val="0"/>
        <c:axId val="225444224"/>
        <c:axId val="225445760"/>
      </c:lineChart>
      <c:catAx>
        <c:axId val="22544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445760"/>
        <c:crosses val="autoZero"/>
        <c:auto val="1"/>
        <c:lblAlgn val="ctr"/>
        <c:lblOffset val="100"/>
        <c:noMultiLvlLbl val="0"/>
      </c:catAx>
      <c:valAx>
        <c:axId val="2254457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444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NPV - sens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 (2'!$I$4</c:f>
              <c:strCache>
                <c:ptCount val="1"/>
                <c:pt idx="0">
                  <c:v>NPV</c:v>
                </c:pt>
              </c:strCache>
            </c:strRef>
          </c:tx>
          <c:spPr>
            <a:ln w="28575" cap="rnd">
              <a:solidFill>
                <a:schemeClr val="accent1"/>
              </a:solidFill>
              <a:round/>
            </a:ln>
            <a:effectLst/>
          </c:spPr>
          <c:marker>
            <c:symbol val="none"/>
          </c:marker>
          <c:cat>
            <c:numRef>
              <c:f>'HEP expansion + infl + Sens (2'!$J$3:$N$3</c:f>
              <c:numCache>
                <c:formatCode>General</c:formatCode>
                <c:ptCount val="5"/>
                <c:pt idx="0">
                  <c:v>-10</c:v>
                </c:pt>
                <c:pt idx="1">
                  <c:v>-5</c:v>
                </c:pt>
                <c:pt idx="2">
                  <c:v>0</c:v>
                </c:pt>
                <c:pt idx="3">
                  <c:v>5</c:v>
                </c:pt>
                <c:pt idx="4">
                  <c:v>10</c:v>
                </c:pt>
              </c:numCache>
            </c:numRef>
          </c:cat>
          <c:val>
            <c:numRef>
              <c:f>'HEP expansion + infl + Sens (2'!$J$4:$N$4</c:f>
              <c:numCache>
                <c:formatCode>_-"£"* #,##0_-;\-"£"* #,##0_-;_-"£"* "-"??_-;_-@_-</c:formatCode>
                <c:ptCount val="5"/>
                <c:pt idx="0">
                  <c:v>1735.5898528092775</c:v>
                </c:pt>
                <c:pt idx="1">
                  <c:v>2763.3820633859973</c:v>
                </c:pt>
                <c:pt idx="2">
                  <c:v>3791.1742739627184</c:v>
                </c:pt>
                <c:pt idx="3">
                  <c:v>4818.9664845394391</c:v>
                </c:pt>
                <c:pt idx="4">
                  <c:v>5846.7586951161584</c:v>
                </c:pt>
              </c:numCache>
            </c:numRef>
          </c:val>
          <c:smooth val="0"/>
          <c:extLst>
            <c:ext xmlns:c16="http://schemas.microsoft.com/office/drawing/2014/chart" uri="{C3380CC4-5D6E-409C-BE32-E72D297353CC}">
              <c16:uniqueId val="{00000000-64B8-4FD5-A454-95D4CC52515A}"/>
            </c:ext>
          </c:extLst>
        </c:ser>
        <c:dLbls>
          <c:showLegendKey val="0"/>
          <c:showVal val="0"/>
          <c:showCatName val="0"/>
          <c:showSerName val="0"/>
          <c:showPercent val="0"/>
          <c:showBubbleSize val="0"/>
        </c:dLbls>
        <c:smooth val="0"/>
        <c:axId val="224791936"/>
        <c:axId val="224801920"/>
      </c:lineChart>
      <c:catAx>
        <c:axId val="22479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01920"/>
        <c:crosses val="autoZero"/>
        <c:auto val="1"/>
        <c:lblAlgn val="ctr"/>
        <c:lblOffset val="100"/>
        <c:noMultiLvlLbl val="0"/>
      </c:catAx>
      <c:valAx>
        <c:axId val="22480192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91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IRR - sens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 (2'!$I$5</c:f>
              <c:strCache>
                <c:ptCount val="1"/>
                <c:pt idx="0">
                  <c:v>IRR</c:v>
                </c:pt>
              </c:strCache>
            </c:strRef>
          </c:tx>
          <c:spPr>
            <a:ln w="28575" cap="rnd">
              <a:solidFill>
                <a:schemeClr val="accent1"/>
              </a:solidFill>
              <a:round/>
            </a:ln>
            <a:effectLst/>
          </c:spPr>
          <c:marker>
            <c:symbol val="none"/>
          </c:marker>
          <c:cat>
            <c:numRef>
              <c:f>'HEP expansion + infl + Sens (2'!$J$3:$N$3</c:f>
              <c:numCache>
                <c:formatCode>General</c:formatCode>
                <c:ptCount val="5"/>
                <c:pt idx="0">
                  <c:v>-10</c:v>
                </c:pt>
                <c:pt idx="1">
                  <c:v>-5</c:v>
                </c:pt>
                <c:pt idx="2">
                  <c:v>0</c:v>
                </c:pt>
                <c:pt idx="3">
                  <c:v>5</c:v>
                </c:pt>
                <c:pt idx="4">
                  <c:v>10</c:v>
                </c:pt>
              </c:numCache>
            </c:numRef>
          </c:cat>
          <c:val>
            <c:numRef>
              <c:f>'HEP expansion + infl + Sens (2'!$J$5:$N$5</c:f>
              <c:numCache>
                <c:formatCode>0.0%</c:formatCode>
                <c:ptCount val="5"/>
                <c:pt idx="0">
                  <c:v>0.2023778599893824</c:v>
                </c:pt>
                <c:pt idx="1">
                  <c:v>0.23296092188887152</c:v>
                </c:pt>
                <c:pt idx="2">
                  <c:v>0.26325251341756095</c:v>
                </c:pt>
                <c:pt idx="3">
                  <c:v>0.29327531904792936</c:v>
                </c:pt>
                <c:pt idx="4">
                  <c:v>0.32304978391392436</c:v>
                </c:pt>
              </c:numCache>
            </c:numRef>
          </c:val>
          <c:smooth val="0"/>
          <c:extLst>
            <c:ext xmlns:c16="http://schemas.microsoft.com/office/drawing/2014/chart" uri="{C3380CC4-5D6E-409C-BE32-E72D297353CC}">
              <c16:uniqueId val="{00000000-440A-4BD0-9180-16FAE191FBE1}"/>
            </c:ext>
          </c:extLst>
        </c:ser>
        <c:dLbls>
          <c:showLegendKey val="0"/>
          <c:showVal val="0"/>
          <c:showCatName val="0"/>
          <c:showSerName val="0"/>
          <c:showPercent val="0"/>
          <c:showBubbleSize val="0"/>
        </c:dLbls>
        <c:smooth val="0"/>
        <c:axId val="224826496"/>
        <c:axId val="224828032"/>
      </c:lineChart>
      <c:catAx>
        <c:axId val="22482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28032"/>
        <c:crosses val="autoZero"/>
        <c:auto val="1"/>
        <c:lblAlgn val="ctr"/>
        <c:lblOffset val="100"/>
        <c:noMultiLvlLbl val="0"/>
      </c:catAx>
      <c:valAx>
        <c:axId val="2248280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26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NPV - sens VC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 (2'!$I$12</c:f>
              <c:strCache>
                <c:ptCount val="1"/>
                <c:pt idx="0">
                  <c:v>NPV</c:v>
                </c:pt>
              </c:strCache>
            </c:strRef>
          </c:tx>
          <c:spPr>
            <a:ln w="28575" cap="rnd">
              <a:solidFill>
                <a:schemeClr val="accent1"/>
              </a:solidFill>
              <a:round/>
            </a:ln>
            <a:effectLst/>
          </c:spPr>
          <c:marker>
            <c:symbol val="none"/>
          </c:marker>
          <c:cat>
            <c:numRef>
              <c:f>'HEP expansion + infl + Sens (2'!$J$3:$N$3</c:f>
              <c:numCache>
                <c:formatCode>General</c:formatCode>
                <c:ptCount val="5"/>
                <c:pt idx="0">
                  <c:v>-10</c:v>
                </c:pt>
                <c:pt idx="1">
                  <c:v>-5</c:v>
                </c:pt>
                <c:pt idx="2">
                  <c:v>0</c:v>
                </c:pt>
                <c:pt idx="3">
                  <c:v>5</c:v>
                </c:pt>
                <c:pt idx="4">
                  <c:v>10</c:v>
                </c:pt>
              </c:numCache>
            </c:numRef>
          </c:cat>
          <c:val>
            <c:numRef>
              <c:f>'HEP expansion + infl + Sens (2'!$J$12:$N$12</c:f>
              <c:numCache>
                <c:formatCode>_-"£"* #,##0_-;\-"£"* #,##0_-;_-"£"* "-"??_-;_-@_-</c:formatCode>
                <c:ptCount val="5"/>
                <c:pt idx="0">
                  <c:v>6874.5509056928749</c:v>
                </c:pt>
                <c:pt idx="1">
                  <c:v>5332.8625898277996</c:v>
                </c:pt>
                <c:pt idx="2">
                  <c:v>3791.1742739627184</c:v>
                </c:pt>
                <c:pt idx="3">
                  <c:v>2249.485958097639</c:v>
                </c:pt>
                <c:pt idx="4">
                  <c:v>707.79764223255734</c:v>
                </c:pt>
              </c:numCache>
            </c:numRef>
          </c:val>
          <c:smooth val="0"/>
          <c:extLst>
            <c:ext xmlns:c16="http://schemas.microsoft.com/office/drawing/2014/chart" uri="{C3380CC4-5D6E-409C-BE32-E72D297353CC}">
              <c16:uniqueId val="{00000000-9EB7-4948-AFB0-7C7116FFEBE9}"/>
            </c:ext>
          </c:extLst>
        </c:ser>
        <c:dLbls>
          <c:showLegendKey val="0"/>
          <c:showVal val="0"/>
          <c:showCatName val="0"/>
          <c:showSerName val="0"/>
          <c:showPercent val="0"/>
          <c:showBubbleSize val="0"/>
        </c:dLbls>
        <c:smooth val="0"/>
        <c:axId val="224852608"/>
        <c:axId val="224665984"/>
      </c:lineChart>
      <c:catAx>
        <c:axId val="22485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665984"/>
        <c:crosses val="autoZero"/>
        <c:auto val="1"/>
        <c:lblAlgn val="ctr"/>
        <c:lblOffset val="100"/>
        <c:noMultiLvlLbl val="0"/>
      </c:catAx>
      <c:valAx>
        <c:axId val="2246659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52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IRR - sens VC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 (2'!$I$13</c:f>
              <c:strCache>
                <c:ptCount val="1"/>
                <c:pt idx="0">
                  <c:v>IRR</c:v>
                </c:pt>
              </c:strCache>
            </c:strRef>
          </c:tx>
          <c:spPr>
            <a:ln w="28575" cap="rnd">
              <a:solidFill>
                <a:schemeClr val="accent1"/>
              </a:solidFill>
              <a:round/>
            </a:ln>
            <a:effectLst/>
          </c:spPr>
          <c:marker>
            <c:symbol val="none"/>
          </c:marker>
          <c:cat>
            <c:numRef>
              <c:f>'HEP expansion + infl + Sens (2'!$J$3:$N$3</c:f>
              <c:numCache>
                <c:formatCode>General</c:formatCode>
                <c:ptCount val="5"/>
                <c:pt idx="0">
                  <c:v>-10</c:v>
                </c:pt>
                <c:pt idx="1">
                  <c:v>-5</c:v>
                </c:pt>
                <c:pt idx="2">
                  <c:v>0</c:v>
                </c:pt>
                <c:pt idx="3">
                  <c:v>5</c:v>
                </c:pt>
                <c:pt idx="4">
                  <c:v>10</c:v>
                </c:pt>
              </c:numCache>
            </c:numRef>
          </c:cat>
          <c:val>
            <c:numRef>
              <c:f>'HEP expansion + infl + Sens (2'!$J$13:$N$13</c:f>
              <c:numCache>
                <c:formatCode>0.0%</c:formatCode>
                <c:ptCount val="5"/>
                <c:pt idx="0">
                  <c:v>0.35259438460974324</c:v>
                </c:pt>
                <c:pt idx="1">
                  <c:v>0.30819239604459758</c:v>
                </c:pt>
                <c:pt idx="2">
                  <c:v>0.26325251341756095</c:v>
                </c:pt>
                <c:pt idx="3">
                  <c:v>0.21770733830549172</c:v>
                </c:pt>
                <c:pt idx="4">
                  <c:v>0.17147808681448407</c:v>
                </c:pt>
              </c:numCache>
            </c:numRef>
          </c:val>
          <c:smooth val="0"/>
          <c:extLst>
            <c:ext xmlns:c16="http://schemas.microsoft.com/office/drawing/2014/chart" uri="{C3380CC4-5D6E-409C-BE32-E72D297353CC}">
              <c16:uniqueId val="{00000000-1D00-4D82-B4FB-011FA0958521}"/>
            </c:ext>
          </c:extLst>
        </c:ser>
        <c:dLbls>
          <c:showLegendKey val="0"/>
          <c:showVal val="0"/>
          <c:showCatName val="0"/>
          <c:showSerName val="0"/>
          <c:showPercent val="0"/>
          <c:showBubbleSize val="0"/>
        </c:dLbls>
        <c:smooth val="0"/>
        <c:axId val="224706944"/>
        <c:axId val="224708480"/>
      </c:lineChart>
      <c:catAx>
        <c:axId val="22470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08480"/>
        <c:crosses val="autoZero"/>
        <c:auto val="1"/>
        <c:lblAlgn val="ctr"/>
        <c:lblOffset val="100"/>
        <c:noMultiLvlLbl val="0"/>
      </c:catAx>
      <c:valAx>
        <c:axId val="2247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06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 (2'!$B$63</c:f>
              <c:strCache>
                <c:ptCount val="1"/>
                <c:pt idx="0">
                  <c:v>Units sold</c:v>
                </c:pt>
              </c:strCache>
            </c:strRef>
          </c:tx>
          <c:spPr>
            <a:ln w="28575" cap="rnd">
              <a:solidFill>
                <a:schemeClr val="accent1"/>
              </a:solidFill>
              <a:round/>
            </a:ln>
            <a:effectLst/>
          </c:spPr>
          <c:marker>
            <c:symbol val="none"/>
          </c:marker>
          <c:cat>
            <c:numRef>
              <c:f>'HEP expansion + infl + Sens (2'!$A$66:$A$86</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infl + Sens (2'!$C$66:$C$86</c:f>
              <c:numCache>
                <c:formatCode>_("£"* #,##0.00_);_("£"* \(#,##0.00\);_("£"* "-"??_);_(@_)</c:formatCode>
                <c:ptCount val="21"/>
                <c:pt idx="0">
                  <c:v>-7776.7089168492093</c:v>
                </c:pt>
                <c:pt idx="1">
                  <c:v>-6063.7218992213402</c:v>
                </c:pt>
                <c:pt idx="2">
                  <c:v>-4495.3141248065849</c:v>
                </c:pt>
                <c:pt idx="3">
                  <c:v>-3419.1515896526962</c:v>
                </c:pt>
                <c:pt idx="4">
                  <c:v>-2375.578989497606</c:v>
                </c:pt>
                <c:pt idx="5">
                  <c:v>-1347.7867789208849</c:v>
                </c:pt>
                <c:pt idx="6">
                  <c:v>-319.99456834416651</c:v>
                </c:pt>
                <c:pt idx="7">
                  <c:v>707.79764223255734</c:v>
                </c:pt>
                <c:pt idx="8">
                  <c:v>1735.5898528092775</c:v>
                </c:pt>
                <c:pt idx="9">
                  <c:v>2763.3820633859973</c:v>
                </c:pt>
                <c:pt idx="10">
                  <c:v>3791.1742739627184</c:v>
                </c:pt>
                <c:pt idx="11">
                  <c:v>4818.9664845394391</c:v>
                </c:pt>
                <c:pt idx="12">
                  <c:v>5846.7586951161538</c:v>
                </c:pt>
                <c:pt idx="13">
                  <c:v>6874.5509056928813</c:v>
                </c:pt>
                <c:pt idx="14">
                  <c:v>7902.3431162696006</c:v>
                </c:pt>
                <c:pt idx="15">
                  <c:v>8930.1353268463208</c:v>
                </c:pt>
                <c:pt idx="16">
                  <c:v>9957.9275374230347</c:v>
                </c:pt>
                <c:pt idx="17">
                  <c:v>10985.719747999758</c:v>
                </c:pt>
                <c:pt idx="18">
                  <c:v>12013.511958576484</c:v>
                </c:pt>
                <c:pt idx="19">
                  <c:v>13041.304169153203</c:v>
                </c:pt>
                <c:pt idx="20">
                  <c:v>14069.096379729925</c:v>
                </c:pt>
              </c:numCache>
            </c:numRef>
          </c:val>
          <c:smooth val="0"/>
          <c:extLst>
            <c:ext xmlns:c16="http://schemas.microsoft.com/office/drawing/2014/chart" uri="{C3380CC4-5D6E-409C-BE32-E72D297353CC}">
              <c16:uniqueId val="{00000000-4A77-45E6-AA4D-B04EC84FC941}"/>
            </c:ext>
          </c:extLst>
        </c:ser>
        <c:dLbls>
          <c:showLegendKey val="0"/>
          <c:showVal val="0"/>
          <c:showCatName val="0"/>
          <c:showSerName val="0"/>
          <c:showPercent val="0"/>
          <c:showBubbleSize val="0"/>
        </c:dLbls>
        <c:smooth val="0"/>
        <c:axId val="224730112"/>
        <c:axId val="224736000"/>
      </c:lineChart>
      <c:catAx>
        <c:axId val="22473011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36000"/>
        <c:crosses val="autoZero"/>
        <c:auto val="1"/>
        <c:lblAlgn val="ctr"/>
        <c:lblOffset val="100"/>
        <c:noMultiLvlLbl val="0"/>
      </c:catAx>
      <c:valAx>
        <c:axId val="2247360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30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infl + Sens (2'!$I$63</c:f>
              <c:strCache>
                <c:ptCount val="1"/>
                <c:pt idx="0">
                  <c:v>Variable Costs</c:v>
                </c:pt>
              </c:strCache>
            </c:strRef>
          </c:tx>
          <c:spPr>
            <a:ln w="28575" cap="rnd">
              <a:solidFill>
                <a:schemeClr val="accent1"/>
              </a:solidFill>
              <a:round/>
            </a:ln>
            <a:effectLst/>
          </c:spPr>
          <c:marker>
            <c:symbol val="none"/>
          </c:marker>
          <c:cat>
            <c:numRef>
              <c:f>'HEP expansion + infl + Sens (2'!$A$66:$A$86</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infl + Sens (2'!$J$66:$J$86</c:f>
              <c:numCache>
                <c:formatCode>_("£"* #,##0.00_);_("£"* \(#,##0.00\);_("£"* "-"??_);_(@_)</c:formatCode>
                <c:ptCount val="21"/>
                <c:pt idx="0">
                  <c:v>19208.057432613525</c:v>
                </c:pt>
                <c:pt idx="1">
                  <c:v>17666.369116748447</c:v>
                </c:pt>
                <c:pt idx="2">
                  <c:v>16124.680800883365</c:v>
                </c:pt>
                <c:pt idx="3">
                  <c:v>14582.992485018283</c:v>
                </c:pt>
                <c:pt idx="4">
                  <c:v>13041.304169153203</c:v>
                </c:pt>
                <c:pt idx="5">
                  <c:v>11499.615853288124</c:v>
                </c:pt>
                <c:pt idx="6">
                  <c:v>9957.9275374230456</c:v>
                </c:pt>
                <c:pt idx="7">
                  <c:v>8416.2392215579639</c:v>
                </c:pt>
                <c:pt idx="8">
                  <c:v>6874.5509056928822</c:v>
                </c:pt>
                <c:pt idx="9">
                  <c:v>5332.8625898277996</c:v>
                </c:pt>
                <c:pt idx="10">
                  <c:v>3791.1742739627243</c:v>
                </c:pt>
                <c:pt idx="11">
                  <c:v>2249.4859580976436</c:v>
                </c:pt>
                <c:pt idx="12">
                  <c:v>707.79764223256279</c:v>
                </c:pt>
                <c:pt idx="13">
                  <c:v>-833.89067363252525</c:v>
                </c:pt>
                <c:pt idx="14">
                  <c:v>-2375.578989497606</c:v>
                </c:pt>
                <c:pt idx="15">
                  <c:v>-3948.9996104930988</c:v>
                </c:pt>
                <c:pt idx="16">
                  <c:v>-6063.7218992213311</c:v>
                </c:pt>
                <c:pt idx="17">
                  <c:v>-8633.202425663143</c:v>
                </c:pt>
                <c:pt idx="18">
                  <c:v>-11202.682952104944</c:v>
                </c:pt>
                <c:pt idx="19">
                  <c:v>-13772.163478546745</c:v>
                </c:pt>
                <c:pt idx="20">
                  <c:v>-16341.64400498854</c:v>
                </c:pt>
              </c:numCache>
            </c:numRef>
          </c:val>
          <c:smooth val="0"/>
          <c:extLst>
            <c:ext xmlns:c16="http://schemas.microsoft.com/office/drawing/2014/chart" uri="{C3380CC4-5D6E-409C-BE32-E72D297353CC}">
              <c16:uniqueId val="{00000000-AA68-4A7A-B79F-71FE1BD3E7B5}"/>
            </c:ext>
          </c:extLst>
        </c:ser>
        <c:dLbls>
          <c:showLegendKey val="0"/>
          <c:showVal val="0"/>
          <c:showCatName val="0"/>
          <c:showSerName val="0"/>
          <c:showPercent val="0"/>
          <c:showBubbleSize val="0"/>
        </c:dLbls>
        <c:smooth val="0"/>
        <c:axId val="224781056"/>
        <c:axId val="224782592"/>
      </c:lineChart>
      <c:catAx>
        <c:axId val="22478105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82592"/>
        <c:crosses val="autoZero"/>
        <c:auto val="1"/>
        <c:lblAlgn val="ctr"/>
        <c:lblOffset val="100"/>
        <c:noMultiLvlLbl val="0"/>
      </c:catAx>
      <c:valAx>
        <c:axId val="2247825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81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'HEP expansion + infl + Sens (2'!$B$63</c:f>
              <c:strCache>
                <c:ptCount val="1"/>
                <c:pt idx="0">
                  <c:v>Units sold</c:v>
                </c:pt>
              </c:strCache>
            </c:strRef>
          </c:tx>
          <c:spPr>
            <a:ln w="28575" cap="rnd">
              <a:solidFill>
                <a:schemeClr val="accent1"/>
              </a:solidFill>
              <a:round/>
            </a:ln>
            <a:effectLst/>
          </c:spPr>
          <c:marker>
            <c:symbol val="none"/>
          </c:marker>
          <c:cat>
            <c:numRef>
              <c:f>'HEP expansion + infl + Sens (2'!$A$66:$A$86</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infl + Sens (2'!$C$66:$C$86</c:f>
              <c:numCache>
                <c:formatCode>_("£"* #,##0.00_);_("£"* \(#,##0.00\);_("£"* "-"??_);_(@_)</c:formatCode>
                <c:ptCount val="21"/>
                <c:pt idx="0">
                  <c:v>-7776.7089168492093</c:v>
                </c:pt>
                <c:pt idx="1">
                  <c:v>-6063.7218992213402</c:v>
                </c:pt>
                <c:pt idx="2">
                  <c:v>-4495.3141248065849</c:v>
                </c:pt>
                <c:pt idx="3">
                  <c:v>-3419.1515896526962</c:v>
                </c:pt>
                <c:pt idx="4">
                  <c:v>-2375.578989497606</c:v>
                </c:pt>
                <c:pt idx="5">
                  <c:v>-1347.7867789208849</c:v>
                </c:pt>
                <c:pt idx="6">
                  <c:v>-319.99456834416651</c:v>
                </c:pt>
                <c:pt idx="7">
                  <c:v>707.79764223255734</c:v>
                </c:pt>
                <c:pt idx="8">
                  <c:v>1735.5898528092775</c:v>
                </c:pt>
                <c:pt idx="9">
                  <c:v>2763.3820633859973</c:v>
                </c:pt>
                <c:pt idx="10">
                  <c:v>3791.1742739627184</c:v>
                </c:pt>
                <c:pt idx="11">
                  <c:v>4818.9664845394391</c:v>
                </c:pt>
                <c:pt idx="12">
                  <c:v>5846.7586951161538</c:v>
                </c:pt>
                <c:pt idx="13">
                  <c:v>6874.5509056928813</c:v>
                </c:pt>
                <c:pt idx="14">
                  <c:v>7902.3431162696006</c:v>
                </c:pt>
                <c:pt idx="15">
                  <c:v>8930.1353268463208</c:v>
                </c:pt>
                <c:pt idx="16">
                  <c:v>9957.9275374230347</c:v>
                </c:pt>
                <c:pt idx="17">
                  <c:v>10985.719747999758</c:v>
                </c:pt>
                <c:pt idx="18">
                  <c:v>12013.511958576484</c:v>
                </c:pt>
                <c:pt idx="19">
                  <c:v>13041.304169153203</c:v>
                </c:pt>
                <c:pt idx="20">
                  <c:v>14069.096379729925</c:v>
                </c:pt>
              </c:numCache>
            </c:numRef>
          </c:val>
          <c:smooth val="0"/>
          <c:extLst>
            <c:ext xmlns:c16="http://schemas.microsoft.com/office/drawing/2014/chart" uri="{C3380CC4-5D6E-409C-BE32-E72D297353CC}">
              <c16:uniqueId val="{00000000-296F-4059-B6E7-3AE32F1E8D60}"/>
            </c:ext>
          </c:extLst>
        </c:ser>
        <c:ser>
          <c:idx val="1"/>
          <c:order val="1"/>
          <c:tx>
            <c:strRef>
              <c:f>'HEP expansion + infl + Sens (2'!$I$63:$N$63</c:f>
              <c:strCache>
                <c:ptCount val="1"/>
                <c:pt idx="0">
                  <c:v>Variable Costs</c:v>
                </c:pt>
              </c:strCache>
            </c:strRef>
          </c:tx>
          <c:spPr>
            <a:ln w="28575" cap="rnd">
              <a:solidFill>
                <a:schemeClr val="accent2"/>
              </a:solidFill>
              <a:round/>
            </a:ln>
            <a:effectLst/>
          </c:spPr>
          <c:marker>
            <c:symbol val="none"/>
          </c:marker>
          <c:val>
            <c:numRef>
              <c:f>'HEP expansion + infl + Sens (2'!$J$66:$J$86</c:f>
              <c:numCache>
                <c:formatCode>_("£"* #,##0.00_);_("£"* \(#,##0.00\);_("£"* "-"??_);_(@_)</c:formatCode>
                <c:ptCount val="21"/>
                <c:pt idx="0">
                  <c:v>19208.057432613525</c:v>
                </c:pt>
                <c:pt idx="1">
                  <c:v>17666.369116748447</c:v>
                </c:pt>
                <c:pt idx="2">
                  <c:v>16124.680800883365</c:v>
                </c:pt>
                <c:pt idx="3">
                  <c:v>14582.992485018283</c:v>
                </c:pt>
                <c:pt idx="4">
                  <c:v>13041.304169153203</c:v>
                </c:pt>
                <c:pt idx="5">
                  <c:v>11499.615853288124</c:v>
                </c:pt>
                <c:pt idx="6">
                  <c:v>9957.9275374230456</c:v>
                </c:pt>
                <c:pt idx="7">
                  <c:v>8416.2392215579639</c:v>
                </c:pt>
                <c:pt idx="8">
                  <c:v>6874.5509056928822</c:v>
                </c:pt>
                <c:pt idx="9">
                  <c:v>5332.8625898277996</c:v>
                </c:pt>
                <c:pt idx="10">
                  <c:v>3791.1742739627243</c:v>
                </c:pt>
                <c:pt idx="11">
                  <c:v>2249.4859580976436</c:v>
                </c:pt>
                <c:pt idx="12">
                  <c:v>707.79764223256279</c:v>
                </c:pt>
                <c:pt idx="13">
                  <c:v>-833.89067363252525</c:v>
                </c:pt>
                <c:pt idx="14">
                  <c:v>-2375.578989497606</c:v>
                </c:pt>
                <c:pt idx="15">
                  <c:v>-3948.9996104930988</c:v>
                </c:pt>
                <c:pt idx="16">
                  <c:v>-6063.7218992213311</c:v>
                </c:pt>
                <c:pt idx="17">
                  <c:v>-8633.202425663143</c:v>
                </c:pt>
                <c:pt idx="18">
                  <c:v>-11202.682952104944</c:v>
                </c:pt>
                <c:pt idx="19">
                  <c:v>-13772.163478546745</c:v>
                </c:pt>
                <c:pt idx="20">
                  <c:v>-16341.64400498854</c:v>
                </c:pt>
              </c:numCache>
            </c:numRef>
          </c:val>
          <c:smooth val="0"/>
          <c:extLst>
            <c:ext xmlns:c16="http://schemas.microsoft.com/office/drawing/2014/chart" uri="{C3380CC4-5D6E-409C-BE32-E72D297353CC}">
              <c16:uniqueId val="{00000001-296F-4059-B6E7-3AE32F1E8D60}"/>
            </c:ext>
          </c:extLst>
        </c:ser>
        <c:dLbls>
          <c:showLegendKey val="0"/>
          <c:showVal val="0"/>
          <c:showCatName val="0"/>
          <c:showSerName val="0"/>
          <c:showPercent val="0"/>
          <c:showBubbleSize val="0"/>
        </c:dLbls>
        <c:smooth val="0"/>
        <c:axId val="225397760"/>
        <c:axId val="225415936"/>
      </c:lineChart>
      <c:catAx>
        <c:axId val="2253977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15936"/>
        <c:crosses val="autoZero"/>
        <c:auto val="1"/>
        <c:lblAlgn val="ctr"/>
        <c:lblOffset val="100"/>
        <c:noMultiLvlLbl val="0"/>
      </c:catAx>
      <c:valAx>
        <c:axId val="22541593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97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GB" sz="2400"/>
              <a:t>NPV Sensitivity</a:t>
            </a:r>
          </a:p>
        </c:rich>
      </c:tx>
      <c:layout>
        <c:manualLayout>
          <c:xMode val="edge"/>
          <c:yMode val="edge"/>
          <c:x val="0.38928745017983862"/>
          <c:y val="3.8138825324180017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Sens. Units</c:v>
          </c:tx>
          <c:spPr>
            <a:ln w="28575" cap="rnd">
              <a:solidFill>
                <a:schemeClr val="accent1"/>
              </a:solidFill>
              <a:round/>
            </a:ln>
            <a:effectLst/>
          </c:spPr>
          <c:marker>
            <c:symbol val="none"/>
          </c:marker>
          <c:cat>
            <c:numRef>
              <c:f>'HEP expansion + infl + Sens (2'!$J$3:$N$3</c:f>
              <c:numCache>
                <c:formatCode>General</c:formatCode>
                <c:ptCount val="5"/>
                <c:pt idx="0">
                  <c:v>-10</c:v>
                </c:pt>
                <c:pt idx="1">
                  <c:v>-5</c:v>
                </c:pt>
                <c:pt idx="2">
                  <c:v>0</c:v>
                </c:pt>
                <c:pt idx="3">
                  <c:v>5</c:v>
                </c:pt>
                <c:pt idx="4">
                  <c:v>10</c:v>
                </c:pt>
              </c:numCache>
            </c:numRef>
          </c:cat>
          <c:val>
            <c:numRef>
              <c:f>'HEP expansion + infl + Sens (2'!$J$4:$N$4</c:f>
              <c:numCache>
                <c:formatCode>_-"£"* #,##0_-;\-"£"* #,##0_-;_-"£"* "-"??_-;_-@_-</c:formatCode>
                <c:ptCount val="5"/>
                <c:pt idx="0">
                  <c:v>1735.5898528092775</c:v>
                </c:pt>
                <c:pt idx="1">
                  <c:v>2763.3820633859973</c:v>
                </c:pt>
                <c:pt idx="2">
                  <c:v>3791.1742739627184</c:v>
                </c:pt>
                <c:pt idx="3">
                  <c:v>4818.9664845394391</c:v>
                </c:pt>
                <c:pt idx="4">
                  <c:v>5846.7586951161584</c:v>
                </c:pt>
              </c:numCache>
            </c:numRef>
          </c:val>
          <c:smooth val="0"/>
          <c:extLst>
            <c:ext xmlns:c16="http://schemas.microsoft.com/office/drawing/2014/chart" uri="{C3380CC4-5D6E-409C-BE32-E72D297353CC}">
              <c16:uniqueId val="{00000000-AEBB-43F6-B5EB-3FE4C8C2C354}"/>
            </c:ext>
          </c:extLst>
        </c:ser>
        <c:ser>
          <c:idx val="1"/>
          <c:order val="1"/>
          <c:tx>
            <c:v>Sens. Var. Costs</c:v>
          </c:tx>
          <c:spPr>
            <a:ln w="28575" cap="rnd">
              <a:solidFill>
                <a:schemeClr val="accent2"/>
              </a:solidFill>
              <a:round/>
            </a:ln>
            <a:effectLst/>
          </c:spPr>
          <c:marker>
            <c:symbol val="none"/>
          </c:marker>
          <c:cat>
            <c:numRef>
              <c:f>'HEP expansion + infl + Sens (2'!$J$3:$N$3</c:f>
              <c:numCache>
                <c:formatCode>General</c:formatCode>
                <c:ptCount val="5"/>
                <c:pt idx="0">
                  <c:v>-10</c:v>
                </c:pt>
                <c:pt idx="1">
                  <c:v>-5</c:v>
                </c:pt>
                <c:pt idx="2">
                  <c:v>0</c:v>
                </c:pt>
                <c:pt idx="3">
                  <c:v>5</c:v>
                </c:pt>
                <c:pt idx="4">
                  <c:v>10</c:v>
                </c:pt>
              </c:numCache>
            </c:numRef>
          </c:cat>
          <c:val>
            <c:numRef>
              <c:f>'HEP expansion + infl + Sens (2'!$J$12:$N$12</c:f>
              <c:numCache>
                <c:formatCode>_-"£"* #,##0_-;\-"£"* #,##0_-;_-"£"* "-"??_-;_-@_-</c:formatCode>
                <c:ptCount val="5"/>
                <c:pt idx="0">
                  <c:v>6874.5509056928749</c:v>
                </c:pt>
                <c:pt idx="1">
                  <c:v>5332.8625898277996</c:v>
                </c:pt>
                <c:pt idx="2">
                  <c:v>3791.1742739627184</c:v>
                </c:pt>
                <c:pt idx="3">
                  <c:v>2249.485958097639</c:v>
                </c:pt>
                <c:pt idx="4">
                  <c:v>707.79764223255734</c:v>
                </c:pt>
              </c:numCache>
            </c:numRef>
          </c:val>
          <c:smooth val="0"/>
          <c:extLst>
            <c:ext xmlns:c16="http://schemas.microsoft.com/office/drawing/2014/chart" uri="{C3380CC4-5D6E-409C-BE32-E72D297353CC}">
              <c16:uniqueId val="{00000001-AEBB-43F6-B5EB-3FE4C8C2C354}"/>
            </c:ext>
          </c:extLst>
        </c:ser>
        <c:dLbls>
          <c:showLegendKey val="0"/>
          <c:showVal val="0"/>
          <c:showCatName val="0"/>
          <c:showSerName val="0"/>
          <c:showPercent val="0"/>
          <c:showBubbleSize val="0"/>
        </c:dLbls>
        <c:smooth val="0"/>
        <c:axId val="225444224"/>
        <c:axId val="225445760"/>
      </c:lineChart>
      <c:catAx>
        <c:axId val="22544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445760"/>
        <c:crosses val="autoZero"/>
        <c:auto val="1"/>
        <c:lblAlgn val="ctr"/>
        <c:lblOffset val="100"/>
        <c:noMultiLvlLbl val="0"/>
      </c:catAx>
      <c:valAx>
        <c:axId val="2254457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444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wacc'!$B$72</c:f>
              <c:strCache>
                <c:ptCount val="1"/>
                <c:pt idx="0">
                  <c:v>Units sold</c:v>
                </c:pt>
              </c:strCache>
            </c:strRef>
          </c:tx>
          <c:spPr>
            <a:ln w="28575" cap="rnd">
              <a:solidFill>
                <a:schemeClr val="accent1"/>
              </a:solidFill>
              <a:round/>
            </a:ln>
            <a:effectLst/>
          </c:spPr>
          <c:marker>
            <c:symbol val="none"/>
          </c:marker>
          <c:cat>
            <c:numRef>
              <c:f>'HEP expansion + wacc'!$A$75:$A$95</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wacc'!$C$75:$C$95</c:f>
              <c:numCache>
                <c:formatCode>_("£"* #,##0.00_);_("£"* \(#,##0.00\);_("£"* "-"??_);_(@_)</c:formatCode>
                <c:ptCount val="21"/>
                <c:pt idx="0">
                  <c:v>-7218.6865498750531</c:v>
                </c:pt>
                <c:pt idx="1">
                  <c:v>-5396.2769418992102</c:v>
                </c:pt>
                <c:pt idx="2">
                  <c:v>-3728.675877238652</c:v>
                </c:pt>
                <c:pt idx="3">
                  <c:v>-2592.7673365264527</c:v>
                </c:pt>
                <c:pt idx="4">
                  <c:v>-1485.6553909829245</c:v>
                </c:pt>
                <c:pt idx="5">
                  <c:v>-392.20962619741931</c:v>
                </c:pt>
                <c:pt idx="6">
                  <c:v>701.2361385880813</c:v>
                </c:pt>
                <c:pt idx="7">
                  <c:v>1794.6819033735919</c:v>
                </c:pt>
                <c:pt idx="8">
                  <c:v>2888.1276681590971</c:v>
                </c:pt>
                <c:pt idx="9">
                  <c:v>3981.5734329446022</c:v>
                </c:pt>
                <c:pt idx="10">
                  <c:v>5075.0191977301083</c:v>
                </c:pt>
                <c:pt idx="11">
                  <c:v>6168.4649625156162</c:v>
                </c:pt>
                <c:pt idx="12">
                  <c:v>7261.9107273011132</c:v>
                </c:pt>
                <c:pt idx="13">
                  <c:v>8355.3564920866265</c:v>
                </c:pt>
                <c:pt idx="14">
                  <c:v>9448.8022568721317</c:v>
                </c:pt>
                <c:pt idx="15">
                  <c:v>10542.248021657637</c:v>
                </c:pt>
                <c:pt idx="16">
                  <c:v>11635.693786443137</c:v>
                </c:pt>
                <c:pt idx="17">
                  <c:v>12729.139551228644</c:v>
                </c:pt>
                <c:pt idx="18">
                  <c:v>13822.585316014156</c:v>
                </c:pt>
                <c:pt idx="19">
                  <c:v>14916.031080799663</c:v>
                </c:pt>
                <c:pt idx="20">
                  <c:v>16009.476845585166</c:v>
                </c:pt>
              </c:numCache>
            </c:numRef>
          </c:val>
          <c:smooth val="0"/>
          <c:extLst>
            <c:ext xmlns:c16="http://schemas.microsoft.com/office/drawing/2014/chart" uri="{C3380CC4-5D6E-409C-BE32-E72D297353CC}">
              <c16:uniqueId val="{00000000-E335-4F23-B35F-4338D5517BC9}"/>
            </c:ext>
          </c:extLst>
        </c:ser>
        <c:dLbls>
          <c:showLegendKey val="0"/>
          <c:showVal val="0"/>
          <c:showCatName val="0"/>
          <c:showSerName val="0"/>
          <c:showPercent val="0"/>
          <c:showBubbleSize val="0"/>
        </c:dLbls>
        <c:smooth val="0"/>
        <c:axId val="224557312"/>
        <c:axId val="224567296"/>
      </c:lineChart>
      <c:catAx>
        <c:axId val="22455731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67296"/>
        <c:crosses val="autoZero"/>
        <c:auto val="1"/>
        <c:lblAlgn val="ctr"/>
        <c:lblOffset val="100"/>
        <c:noMultiLvlLbl val="0"/>
      </c:catAx>
      <c:valAx>
        <c:axId val="2245672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57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expansion + wacc'!$I$72</c:f>
              <c:strCache>
                <c:ptCount val="1"/>
                <c:pt idx="0">
                  <c:v>Variable Costs</c:v>
                </c:pt>
              </c:strCache>
            </c:strRef>
          </c:tx>
          <c:spPr>
            <a:ln w="28575" cap="rnd">
              <a:solidFill>
                <a:schemeClr val="accent1"/>
              </a:solidFill>
              <a:round/>
            </a:ln>
            <a:effectLst/>
          </c:spPr>
          <c:marker>
            <c:symbol val="none"/>
          </c:marker>
          <c:cat>
            <c:numRef>
              <c:f>'HEP expansion + wacc'!$A$75:$A$95</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wacc'!$J$75:$J$95</c:f>
              <c:numCache>
                <c:formatCode>_("£"* #,##0.00_);_("£"* \(#,##0.00\);_("£"* "-"??_);_(@_)</c:formatCode>
                <c:ptCount val="21"/>
                <c:pt idx="0">
                  <c:v>21476.705669512696</c:v>
                </c:pt>
                <c:pt idx="1">
                  <c:v>19836.537022334436</c:v>
                </c:pt>
                <c:pt idx="2">
                  <c:v>18196.368375156177</c:v>
                </c:pt>
                <c:pt idx="3">
                  <c:v>16556.199727977921</c:v>
                </c:pt>
                <c:pt idx="4">
                  <c:v>14916.031080799663</c:v>
                </c:pt>
                <c:pt idx="5">
                  <c:v>13275.862433621402</c:v>
                </c:pt>
                <c:pt idx="6">
                  <c:v>11635.693786443146</c:v>
                </c:pt>
                <c:pt idx="7">
                  <c:v>9995.5251392648915</c:v>
                </c:pt>
                <c:pt idx="8">
                  <c:v>8355.3564920866265</c:v>
                </c:pt>
                <c:pt idx="9">
                  <c:v>6715.187844908367</c:v>
                </c:pt>
                <c:pt idx="10">
                  <c:v>5075.0191977301147</c:v>
                </c:pt>
                <c:pt idx="11">
                  <c:v>3434.8505505518556</c:v>
                </c:pt>
                <c:pt idx="12">
                  <c:v>1794.6819033735965</c:v>
                </c:pt>
                <c:pt idx="13">
                  <c:v>154.51325619533236</c:v>
                </c:pt>
                <c:pt idx="14">
                  <c:v>-1485.6553909829245</c:v>
                </c:pt>
                <c:pt idx="15">
                  <c:v>-3153.4004386193292</c:v>
                </c:pt>
                <c:pt idx="16">
                  <c:v>-5396.2769418992002</c:v>
                </c:pt>
                <c:pt idx="17">
                  <c:v>-8129.8913538629749</c:v>
                </c:pt>
                <c:pt idx="18">
                  <c:v>-10863.50576582674</c:v>
                </c:pt>
                <c:pt idx="19">
                  <c:v>-13597.120177790504</c:v>
                </c:pt>
                <c:pt idx="20">
                  <c:v>-16330.734589754258</c:v>
                </c:pt>
              </c:numCache>
            </c:numRef>
          </c:val>
          <c:smooth val="0"/>
          <c:extLst>
            <c:ext xmlns:c16="http://schemas.microsoft.com/office/drawing/2014/chart" uri="{C3380CC4-5D6E-409C-BE32-E72D297353CC}">
              <c16:uniqueId val="{00000000-F8F9-4D06-B9D8-12DB9A46A9DC}"/>
            </c:ext>
          </c:extLst>
        </c:ser>
        <c:dLbls>
          <c:showLegendKey val="0"/>
          <c:showVal val="0"/>
          <c:showCatName val="0"/>
          <c:showSerName val="0"/>
          <c:showPercent val="0"/>
          <c:showBubbleSize val="0"/>
        </c:dLbls>
        <c:smooth val="0"/>
        <c:axId val="225681408"/>
        <c:axId val="225682944"/>
      </c:lineChart>
      <c:catAx>
        <c:axId val="225681408"/>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682944"/>
        <c:crosses val="autoZero"/>
        <c:auto val="1"/>
        <c:lblAlgn val="ctr"/>
        <c:lblOffset val="100"/>
        <c:noMultiLvlLbl val="0"/>
      </c:catAx>
      <c:valAx>
        <c:axId val="2256829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681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'HEP expansion + wacc'!$B$72</c:f>
              <c:strCache>
                <c:ptCount val="1"/>
                <c:pt idx="0">
                  <c:v>Units sold</c:v>
                </c:pt>
              </c:strCache>
            </c:strRef>
          </c:tx>
          <c:spPr>
            <a:ln w="28575" cap="rnd">
              <a:solidFill>
                <a:schemeClr val="accent1"/>
              </a:solidFill>
              <a:round/>
            </a:ln>
            <a:effectLst/>
          </c:spPr>
          <c:marker>
            <c:symbol val="none"/>
          </c:marker>
          <c:cat>
            <c:numRef>
              <c:f>'HEP expansion + wacc'!$A$75:$A$95</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expansion + wacc'!$C$75:$C$95</c:f>
              <c:numCache>
                <c:formatCode>_("£"* #,##0.00_);_("£"* \(#,##0.00\);_("£"* "-"??_);_(@_)</c:formatCode>
                <c:ptCount val="21"/>
                <c:pt idx="0">
                  <c:v>-7218.6865498750531</c:v>
                </c:pt>
                <c:pt idx="1">
                  <c:v>-5396.2769418992102</c:v>
                </c:pt>
                <c:pt idx="2">
                  <c:v>-3728.675877238652</c:v>
                </c:pt>
                <c:pt idx="3">
                  <c:v>-2592.7673365264527</c:v>
                </c:pt>
                <c:pt idx="4">
                  <c:v>-1485.6553909829245</c:v>
                </c:pt>
                <c:pt idx="5">
                  <c:v>-392.20962619741931</c:v>
                </c:pt>
                <c:pt idx="6">
                  <c:v>701.2361385880813</c:v>
                </c:pt>
                <c:pt idx="7">
                  <c:v>1794.6819033735919</c:v>
                </c:pt>
                <c:pt idx="8">
                  <c:v>2888.1276681590971</c:v>
                </c:pt>
                <c:pt idx="9">
                  <c:v>3981.5734329446022</c:v>
                </c:pt>
                <c:pt idx="10">
                  <c:v>5075.0191977301083</c:v>
                </c:pt>
                <c:pt idx="11">
                  <c:v>6168.4649625156162</c:v>
                </c:pt>
                <c:pt idx="12">
                  <c:v>7261.9107273011132</c:v>
                </c:pt>
                <c:pt idx="13">
                  <c:v>8355.3564920866265</c:v>
                </c:pt>
                <c:pt idx="14">
                  <c:v>9448.8022568721317</c:v>
                </c:pt>
                <c:pt idx="15">
                  <c:v>10542.248021657637</c:v>
                </c:pt>
                <c:pt idx="16">
                  <c:v>11635.693786443137</c:v>
                </c:pt>
                <c:pt idx="17">
                  <c:v>12729.139551228644</c:v>
                </c:pt>
                <c:pt idx="18">
                  <c:v>13822.585316014156</c:v>
                </c:pt>
                <c:pt idx="19">
                  <c:v>14916.031080799663</c:v>
                </c:pt>
                <c:pt idx="20">
                  <c:v>16009.476845585166</c:v>
                </c:pt>
              </c:numCache>
            </c:numRef>
          </c:val>
          <c:smooth val="0"/>
          <c:extLst>
            <c:ext xmlns:c16="http://schemas.microsoft.com/office/drawing/2014/chart" uri="{C3380CC4-5D6E-409C-BE32-E72D297353CC}">
              <c16:uniqueId val="{00000000-D385-404E-977C-E3FD64D7E6F0}"/>
            </c:ext>
          </c:extLst>
        </c:ser>
        <c:ser>
          <c:idx val="1"/>
          <c:order val="1"/>
          <c:tx>
            <c:strRef>
              <c:f>'HEP expansion + wacc'!$I$72:$N$72</c:f>
              <c:strCache>
                <c:ptCount val="1"/>
                <c:pt idx="0">
                  <c:v>Variable Costs</c:v>
                </c:pt>
              </c:strCache>
            </c:strRef>
          </c:tx>
          <c:spPr>
            <a:ln w="28575" cap="rnd">
              <a:solidFill>
                <a:schemeClr val="accent2"/>
              </a:solidFill>
              <a:round/>
            </a:ln>
            <a:effectLst/>
          </c:spPr>
          <c:marker>
            <c:symbol val="none"/>
          </c:marker>
          <c:val>
            <c:numRef>
              <c:f>'HEP expansion + wacc'!$J$75:$J$95</c:f>
              <c:numCache>
                <c:formatCode>_("£"* #,##0.00_);_("£"* \(#,##0.00\);_("£"* "-"??_);_(@_)</c:formatCode>
                <c:ptCount val="21"/>
                <c:pt idx="0">
                  <c:v>21476.705669512696</c:v>
                </c:pt>
                <c:pt idx="1">
                  <c:v>19836.537022334436</c:v>
                </c:pt>
                <c:pt idx="2">
                  <c:v>18196.368375156177</c:v>
                </c:pt>
                <c:pt idx="3">
                  <c:v>16556.199727977921</c:v>
                </c:pt>
                <c:pt idx="4">
                  <c:v>14916.031080799663</c:v>
                </c:pt>
                <c:pt idx="5">
                  <c:v>13275.862433621402</c:v>
                </c:pt>
                <c:pt idx="6">
                  <c:v>11635.693786443146</c:v>
                </c:pt>
                <c:pt idx="7">
                  <c:v>9995.5251392648915</c:v>
                </c:pt>
                <c:pt idx="8">
                  <c:v>8355.3564920866265</c:v>
                </c:pt>
                <c:pt idx="9">
                  <c:v>6715.187844908367</c:v>
                </c:pt>
                <c:pt idx="10">
                  <c:v>5075.0191977301147</c:v>
                </c:pt>
                <c:pt idx="11">
                  <c:v>3434.8505505518556</c:v>
                </c:pt>
                <c:pt idx="12">
                  <c:v>1794.6819033735965</c:v>
                </c:pt>
                <c:pt idx="13">
                  <c:v>154.51325619533236</c:v>
                </c:pt>
                <c:pt idx="14">
                  <c:v>-1485.6553909829245</c:v>
                </c:pt>
                <c:pt idx="15">
                  <c:v>-3153.4004386193292</c:v>
                </c:pt>
                <c:pt idx="16">
                  <c:v>-5396.2769418992002</c:v>
                </c:pt>
                <c:pt idx="17">
                  <c:v>-8129.8913538629749</c:v>
                </c:pt>
                <c:pt idx="18">
                  <c:v>-10863.50576582674</c:v>
                </c:pt>
                <c:pt idx="19">
                  <c:v>-13597.120177790504</c:v>
                </c:pt>
                <c:pt idx="20">
                  <c:v>-16330.734589754258</c:v>
                </c:pt>
              </c:numCache>
            </c:numRef>
          </c:val>
          <c:smooth val="0"/>
          <c:extLst>
            <c:ext xmlns:c16="http://schemas.microsoft.com/office/drawing/2014/chart" uri="{C3380CC4-5D6E-409C-BE32-E72D297353CC}">
              <c16:uniqueId val="{00000001-D385-404E-977C-E3FD64D7E6F0}"/>
            </c:ext>
          </c:extLst>
        </c:ser>
        <c:dLbls>
          <c:showLegendKey val="0"/>
          <c:showVal val="0"/>
          <c:showCatName val="0"/>
          <c:showSerName val="0"/>
          <c:showPercent val="0"/>
          <c:showBubbleSize val="0"/>
        </c:dLbls>
        <c:smooth val="0"/>
        <c:axId val="225197056"/>
        <c:axId val="225207040"/>
      </c:lineChart>
      <c:catAx>
        <c:axId val="22519705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207040"/>
        <c:crosses val="autoZero"/>
        <c:auto val="1"/>
        <c:lblAlgn val="ctr"/>
        <c:lblOffset val="100"/>
        <c:noMultiLvlLbl val="0"/>
      </c:catAx>
      <c:valAx>
        <c:axId val="2252070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97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GB" sz="2400"/>
              <a:t>NPV Sensitivity</a:t>
            </a:r>
          </a:p>
        </c:rich>
      </c:tx>
      <c:layout>
        <c:manualLayout>
          <c:xMode val="edge"/>
          <c:yMode val="edge"/>
          <c:x val="0.38928745017983862"/>
          <c:y val="3.8138825324180017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Sens. Units</c:v>
          </c:tx>
          <c:spPr>
            <a:ln w="28575" cap="rnd">
              <a:solidFill>
                <a:schemeClr val="accent1"/>
              </a:solidFill>
              <a:round/>
            </a:ln>
            <a:effectLst/>
          </c:spPr>
          <c:marker>
            <c:symbol val="none"/>
          </c:marker>
          <c:cat>
            <c:numRef>
              <c:f>'HEP expansion + wacc'!$J$3:$N$3</c:f>
              <c:numCache>
                <c:formatCode>General</c:formatCode>
                <c:ptCount val="5"/>
              </c:numCache>
            </c:numRef>
          </c:cat>
          <c:val>
            <c:numRef>
              <c:f>'HEP expansion + wacc'!$J$4:$N$4</c:f>
              <c:numCache>
                <c:formatCode>General</c:formatCode>
                <c:ptCount val="5"/>
              </c:numCache>
            </c:numRef>
          </c:val>
          <c:smooth val="0"/>
          <c:extLst>
            <c:ext xmlns:c16="http://schemas.microsoft.com/office/drawing/2014/chart" uri="{C3380CC4-5D6E-409C-BE32-E72D297353CC}">
              <c16:uniqueId val="{00000000-5E8D-47D4-940B-8DD4646CCDBF}"/>
            </c:ext>
          </c:extLst>
        </c:ser>
        <c:ser>
          <c:idx val="1"/>
          <c:order val="1"/>
          <c:tx>
            <c:v>Sens. Var. Costs</c:v>
          </c:tx>
          <c:spPr>
            <a:ln w="28575" cap="rnd">
              <a:solidFill>
                <a:schemeClr val="accent2"/>
              </a:solidFill>
              <a:round/>
            </a:ln>
            <a:effectLst/>
          </c:spPr>
          <c:marker>
            <c:symbol val="none"/>
          </c:marker>
          <c:cat>
            <c:numRef>
              <c:f>'HEP expansion + wacc'!$J$3:$N$3</c:f>
              <c:numCache>
                <c:formatCode>General</c:formatCode>
                <c:ptCount val="5"/>
              </c:numCache>
            </c:numRef>
          </c:cat>
          <c:val>
            <c:numRef>
              <c:f>'HEP expansion + wacc'!$J$12:$N$12</c:f>
              <c:numCache>
                <c:formatCode>General</c:formatCode>
                <c:ptCount val="5"/>
              </c:numCache>
            </c:numRef>
          </c:val>
          <c:smooth val="0"/>
          <c:extLst>
            <c:ext xmlns:c16="http://schemas.microsoft.com/office/drawing/2014/chart" uri="{C3380CC4-5D6E-409C-BE32-E72D297353CC}">
              <c16:uniqueId val="{00000001-5E8D-47D4-940B-8DD4646CCDBF}"/>
            </c:ext>
          </c:extLst>
        </c:ser>
        <c:dLbls>
          <c:showLegendKey val="0"/>
          <c:showVal val="0"/>
          <c:showCatName val="0"/>
          <c:showSerName val="0"/>
          <c:showPercent val="0"/>
          <c:showBubbleSize val="0"/>
        </c:dLbls>
        <c:smooth val="0"/>
        <c:axId val="225218944"/>
        <c:axId val="225220480"/>
      </c:lineChart>
      <c:catAx>
        <c:axId val="22521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220480"/>
        <c:crosses val="autoZero"/>
        <c:auto val="1"/>
        <c:lblAlgn val="ctr"/>
        <c:lblOffset val="100"/>
        <c:noMultiLvlLbl val="0"/>
      </c:catAx>
      <c:valAx>
        <c:axId val="22522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21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exp.+financing in practice'!$B$86</c:f>
              <c:strCache>
                <c:ptCount val="1"/>
                <c:pt idx="0">
                  <c:v>Units sold</c:v>
                </c:pt>
              </c:strCache>
            </c:strRef>
          </c:tx>
          <c:spPr>
            <a:ln w="28575" cap="rnd">
              <a:solidFill>
                <a:schemeClr val="accent1"/>
              </a:solidFill>
              <a:round/>
            </a:ln>
            <a:effectLst/>
          </c:spPr>
          <c:marker>
            <c:symbol val="none"/>
          </c:marker>
          <c:cat>
            <c:numRef>
              <c:f>'HEP exp.+financing in practice'!$A$89:$A$109</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exp.+financing in practice'!$C$89:$C$109</c:f>
              <c:numCache>
                <c:formatCode>_("£"* #,##0.00_);_("£"* \(#,##0.00\);_("£"* "-"??_);_(@_)</c:formatCode>
                <c:ptCount val="21"/>
                <c:pt idx="0">
                  <c:v>-8471.2311044481994</c:v>
                </c:pt>
                <c:pt idx="1">
                  <c:v>-6648.8214964723566</c:v>
                </c:pt>
                <c:pt idx="2">
                  <c:v>-4826.4118884965137</c:v>
                </c:pt>
                <c:pt idx="3">
                  <c:v>-3554.3208782351976</c:v>
                </c:pt>
                <c:pt idx="4">
                  <c:v>-2440.3758423126637</c:v>
                </c:pt>
                <c:pt idx="5">
                  <c:v>-1343.7363589413089</c:v>
                </c:pt>
                <c:pt idx="6">
                  <c:v>-250.2905941558065</c:v>
                </c:pt>
                <c:pt idx="7">
                  <c:v>843.15517062970412</c:v>
                </c:pt>
                <c:pt idx="8">
                  <c:v>1936.6009354152084</c:v>
                </c:pt>
                <c:pt idx="9">
                  <c:v>3030.046700200714</c:v>
                </c:pt>
                <c:pt idx="10">
                  <c:v>4123.4924649862205</c:v>
                </c:pt>
                <c:pt idx="11">
                  <c:v>5216.9382297717257</c:v>
                </c:pt>
                <c:pt idx="12">
                  <c:v>6310.3839945572254</c:v>
                </c:pt>
                <c:pt idx="13">
                  <c:v>7403.8297593427378</c:v>
                </c:pt>
                <c:pt idx="14">
                  <c:v>8497.2755241282448</c:v>
                </c:pt>
                <c:pt idx="15">
                  <c:v>9590.72128891375</c:v>
                </c:pt>
                <c:pt idx="16">
                  <c:v>10684.16705369925</c:v>
                </c:pt>
                <c:pt idx="17">
                  <c:v>11777.612818484755</c:v>
                </c:pt>
                <c:pt idx="18">
                  <c:v>12871.058583270267</c:v>
                </c:pt>
                <c:pt idx="19">
                  <c:v>13964.504348055774</c:v>
                </c:pt>
                <c:pt idx="20">
                  <c:v>15057.950112841281</c:v>
                </c:pt>
              </c:numCache>
            </c:numRef>
          </c:val>
          <c:smooth val="0"/>
          <c:extLst>
            <c:ext xmlns:c16="http://schemas.microsoft.com/office/drawing/2014/chart" uri="{C3380CC4-5D6E-409C-BE32-E72D297353CC}">
              <c16:uniqueId val="{00000000-6B6B-4C09-BE18-A89C2C448691}"/>
            </c:ext>
          </c:extLst>
        </c:ser>
        <c:dLbls>
          <c:showLegendKey val="0"/>
          <c:showVal val="0"/>
          <c:showCatName val="0"/>
          <c:showSerName val="0"/>
          <c:showPercent val="0"/>
          <c:showBubbleSize val="0"/>
        </c:dLbls>
        <c:smooth val="0"/>
        <c:axId val="225014528"/>
        <c:axId val="225016064"/>
      </c:lineChart>
      <c:catAx>
        <c:axId val="225014528"/>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16064"/>
        <c:crosses val="autoZero"/>
        <c:auto val="1"/>
        <c:lblAlgn val="ctr"/>
        <c:lblOffset val="100"/>
        <c:noMultiLvlLbl val="0"/>
      </c:catAx>
      <c:valAx>
        <c:axId val="2250160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14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'HEP exp.+financing in practice'!$I$86</c:f>
              <c:strCache>
                <c:ptCount val="1"/>
                <c:pt idx="0">
                  <c:v>Variable Costs</c:v>
                </c:pt>
              </c:strCache>
            </c:strRef>
          </c:tx>
          <c:spPr>
            <a:ln w="28575" cap="rnd">
              <a:solidFill>
                <a:schemeClr val="accent1"/>
              </a:solidFill>
              <a:round/>
            </a:ln>
            <a:effectLst/>
          </c:spPr>
          <c:marker>
            <c:symbol val="none"/>
          </c:marker>
          <c:cat>
            <c:numRef>
              <c:f>'HEP exp.+financing in practice'!$A$89:$A$109</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exp.+financing in practice'!$J$89:$J$109</c:f>
              <c:numCache>
                <c:formatCode>_("£"* #,##0.00_);_("£"* \(#,##0.00\);_("£"* "-"??_);_(@_)</c:formatCode>
                <c:ptCount val="21"/>
                <c:pt idx="0">
                  <c:v>20525.178936768811</c:v>
                </c:pt>
                <c:pt idx="1">
                  <c:v>18885.010289590551</c:v>
                </c:pt>
                <c:pt idx="2">
                  <c:v>17244.841642412292</c:v>
                </c:pt>
                <c:pt idx="3">
                  <c:v>15604.672995234032</c:v>
                </c:pt>
                <c:pt idx="4">
                  <c:v>13964.504348055774</c:v>
                </c:pt>
                <c:pt idx="5">
                  <c:v>12324.335700877513</c:v>
                </c:pt>
                <c:pt idx="6">
                  <c:v>10684.167053699257</c:v>
                </c:pt>
                <c:pt idx="7">
                  <c:v>9043.9984065210028</c:v>
                </c:pt>
                <c:pt idx="8">
                  <c:v>7403.8297593427405</c:v>
                </c:pt>
                <c:pt idx="9">
                  <c:v>5763.6611121644801</c:v>
                </c:pt>
                <c:pt idx="10">
                  <c:v>4123.4924649862278</c:v>
                </c:pt>
                <c:pt idx="11">
                  <c:v>2483.3238178079687</c:v>
                </c:pt>
                <c:pt idx="12">
                  <c:v>843.15517062970957</c:v>
                </c:pt>
                <c:pt idx="13">
                  <c:v>-797.01347654855635</c:v>
                </c:pt>
                <c:pt idx="14">
                  <c:v>-2440.3758423126637</c:v>
                </c:pt>
                <c:pt idx="15">
                  <c:v>-4129.3496021076289</c:v>
                </c:pt>
                <c:pt idx="16">
                  <c:v>-6648.8214964723475</c:v>
                </c:pt>
                <c:pt idx="17">
                  <c:v>-9382.4359084361222</c:v>
                </c:pt>
                <c:pt idx="18">
                  <c:v>-12116.050320399885</c:v>
                </c:pt>
                <c:pt idx="19">
                  <c:v>-14849.664732363652</c:v>
                </c:pt>
                <c:pt idx="20">
                  <c:v>-17583.279144327404</c:v>
                </c:pt>
              </c:numCache>
            </c:numRef>
          </c:val>
          <c:smooth val="0"/>
          <c:extLst>
            <c:ext xmlns:c16="http://schemas.microsoft.com/office/drawing/2014/chart" uri="{C3380CC4-5D6E-409C-BE32-E72D297353CC}">
              <c16:uniqueId val="{00000000-4BEF-4504-BB25-7AA8A46D07A6}"/>
            </c:ext>
          </c:extLst>
        </c:ser>
        <c:dLbls>
          <c:showLegendKey val="0"/>
          <c:showVal val="0"/>
          <c:showCatName val="0"/>
          <c:showSerName val="0"/>
          <c:showPercent val="0"/>
          <c:showBubbleSize val="0"/>
        </c:dLbls>
        <c:smooth val="0"/>
        <c:axId val="225048832"/>
        <c:axId val="225546240"/>
      </c:lineChart>
      <c:catAx>
        <c:axId val="22504883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46240"/>
        <c:crosses val="autoZero"/>
        <c:auto val="1"/>
        <c:lblAlgn val="ctr"/>
        <c:lblOffset val="100"/>
        <c:noMultiLvlLbl val="0"/>
      </c:catAx>
      <c:valAx>
        <c:axId val="2255462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48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'HEP exp.+financing in practice'!$B$86</c:f>
              <c:strCache>
                <c:ptCount val="1"/>
                <c:pt idx="0">
                  <c:v>Units sold</c:v>
                </c:pt>
              </c:strCache>
            </c:strRef>
          </c:tx>
          <c:spPr>
            <a:ln w="28575" cap="rnd">
              <a:solidFill>
                <a:schemeClr val="accent1"/>
              </a:solidFill>
              <a:round/>
            </a:ln>
            <a:effectLst/>
          </c:spPr>
          <c:marker>
            <c:symbol val="none"/>
          </c:marker>
          <c:cat>
            <c:numRef>
              <c:f>'HEP exp.+financing in practice'!$A$89:$A$109</c:f>
              <c:numCache>
                <c:formatCode>0%</c:formatCode>
                <c:ptCount val="21"/>
                <c:pt idx="0">
                  <c:v>-0.5</c:v>
                </c:pt>
                <c:pt idx="1">
                  <c:v>-0.45</c:v>
                </c:pt>
                <c:pt idx="2">
                  <c:v>-0.4</c:v>
                </c:pt>
                <c:pt idx="3">
                  <c:v>-0.35000000000000003</c:v>
                </c:pt>
                <c:pt idx="4">
                  <c:v>-0.30000000000000004</c:v>
                </c:pt>
                <c:pt idx="5">
                  <c:v>-0.25000000000000006</c:v>
                </c:pt>
                <c:pt idx="6">
                  <c:v>-0.20000000000000007</c:v>
                </c:pt>
                <c:pt idx="7">
                  <c:v>-0.15000000000000008</c:v>
                </c:pt>
                <c:pt idx="8">
                  <c:v>-0.10000000000000007</c:v>
                </c:pt>
                <c:pt idx="9">
                  <c:v>-5.0000000000000072E-2</c:v>
                </c:pt>
                <c:pt idx="10">
                  <c:v>-6.9388939039072284E-17</c:v>
                </c:pt>
                <c:pt idx="11">
                  <c:v>4.9999999999999933E-2</c:v>
                </c:pt>
                <c:pt idx="12">
                  <c:v>9.9999999999999936E-2</c:v>
                </c:pt>
                <c:pt idx="13">
                  <c:v>0.14999999999999994</c:v>
                </c:pt>
                <c:pt idx="14">
                  <c:v>0.19999999999999996</c:v>
                </c:pt>
                <c:pt idx="15">
                  <c:v>0.24999999999999994</c:v>
                </c:pt>
                <c:pt idx="16">
                  <c:v>0.29999999999999993</c:v>
                </c:pt>
                <c:pt idx="17">
                  <c:v>0.34999999999999992</c:v>
                </c:pt>
                <c:pt idx="18">
                  <c:v>0.39999999999999991</c:v>
                </c:pt>
                <c:pt idx="19">
                  <c:v>0.4499999999999999</c:v>
                </c:pt>
                <c:pt idx="20">
                  <c:v>0.49999999999999989</c:v>
                </c:pt>
              </c:numCache>
            </c:numRef>
          </c:cat>
          <c:val>
            <c:numRef>
              <c:f>'HEP exp.+financing in practice'!$C$89:$C$109</c:f>
              <c:numCache>
                <c:formatCode>_("£"* #,##0.00_);_("£"* \(#,##0.00\);_("£"* "-"??_);_(@_)</c:formatCode>
                <c:ptCount val="21"/>
                <c:pt idx="0">
                  <c:v>-8471.2311044481994</c:v>
                </c:pt>
                <c:pt idx="1">
                  <c:v>-6648.8214964723566</c:v>
                </c:pt>
                <c:pt idx="2">
                  <c:v>-4826.4118884965137</c:v>
                </c:pt>
                <c:pt idx="3">
                  <c:v>-3554.3208782351976</c:v>
                </c:pt>
                <c:pt idx="4">
                  <c:v>-2440.3758423126637</c:v>
                </c:pt>
                <c:pt idx="5">
                  <c:v>-1343.7363589413089</c:v>
                </c:pt>
                <c:pt idx="6">
                  <c:v>-250.2905941558065</c:v>
                </c:pt>
                <c:pt idx="7">
                  <c:v>843.15517062970412</c:v>
                </c:pt>
                <c:pt idx="8">
                  <c:v>1936.6009354152084</c:v>
                </c:pt>
                <c:pt idx="9">
                  <c:v>3030.046700200714</c:v>
                </c:pt>
                <c:pt idx="10">
                  <c:v>4123.4924649862205</c:v>
                </c:pt>
                <c:pt idx="11">
                  <c:v>5216.9382297717257</c:v>
                </c:pt>
                <c:pt idx="12">
                  <c:v>6310.3839945572254</c:v>
                </c:pt>
                <c:pt idx="13">
                  <c:v>7403.8297593427378</c:v>
                </c:pt>
                <c:pt idx="14">
                  <c:v>8497.2755241282448</c:v>
                </c:pt>
                <c:pt idx="15">
                  <c:v>9590.72128891375</c:v>
                </c:pt>
                <c:pt idx="16">
                  <c:v>10684.16705369925</c:v>
                </c:pt>
                <c:pt idx="17">
                  <c:v>11777.612818484755</c:v>
                </c:pt>
                <c:pt idx="18">
                  <c:v>12871.058583270267</c:v>
                </c:pt>
                <c:pt idx="19">
                  <c:v>13964.504348055774</c:v>
                </c:pt>
                <c:pt idx="20">
                  <c:v>15057.950112841281</c:v>
                </c:pt>
              </c:numCache>
            </c:numRef>
          </c:val>
          <c:smooth val="0"/>
          <c:extLst>
            <c:ext xmlns:c16="http://schemas.microsoft.com/office/drawing/2014/chart" uri="{C3380CC4-5D6E-409C-BE32-E72D297353CC}">
              <c16:uniqueId val="{00000000-6BBC-41FC-BBE6-6EFD60D005A5}"/>
            </c:ext>
          </c:extLst>
        </c:ser>
        <c:ser>
          <c:idx val="1"/>
          <c:order val="1"/>
          <c:tx>
            <c:strRef>
              <c:f>'HEP exp.+financing in practice'!$I$86:$N$86</c:f>
              <c:strCache>
                <c:ptCount val="1"/>
                <c:pt idx="0">
                  <c:v>Variable Costs</c:v>
                </c:pt>
              </c:strCache>
            </c:strRef>
          </c:tx>
          <c:spPr>
            <a:ln w="28575" cap="rnd">
              <a:solidFill>
                <a:schemeClr val="accent2"/>
              </a:solidFill>
              <a:round/>
            </a:ln>
            <a:effectLst/>
          </c:spPr>
          <c:marker>
            <c:symbol val="none"/>
          </c:marker>
          <c:val>
            <c:numRef>
              <c:f>'HEP exp.+financing in practice'!$J$89:$J$109</c:f>
              <c:numCache>
                <c:formatCode>_("£"* #,##0.00_);_("£"* \(#,##0.00\);_("£"* "-"??_);_(@_)</c:formatCode>
                <c:ptCount val="21"/>
                <c:pt idx="0">
                  <c:v>20525.178936768811</c:v>
                </c:pt>
                <c:pt idx="1">
                  <c:v>18885.010289590551</c:v>
                </c:pt>
                <c:pt idx="2">
                  <c:v>17244.841642412292</c:v>
                </c:pt>
                <c:pt idx="3">
                  <c:v>15604.672995234032</c:v>
                </c:pt>
                <c:pt idx="4">
                  <c:v>13964.504348055774</c:v>
                </c:pt>
                <c:pt idx="5">
                  <c:v>12324.335700877513</c:v>
                </c:pt>
                <c:pt idx="6">
                  <c:v>10684.167053699257</c:v>
                </c:pt>
                <c:pt idx="7">
                  <c:v>9043.9984065210028</c:v>
                </c:pt>
                <c:pt idx="8">
                  <c:v>7403.8297593427405</c:v>
                </c:pt>
                <c:pt idx="9">
                  <c:v>5763.6611121644801</c:v>
                </c:pt>
                <c:pt idx="10">
                  <c:v>4123.4924649862278</c:v>
                </c:pt>
                <c:pt idx="11">
                  <c:v>2483.3238178079687</c:v>
                </c:pt>
                <c:pt idx="12">
                  <c:v>843.15517062970957</c:v>
                </c:pt>
                <c:pt idx="13">
                  <c:v>-797.01347654855635</c:v>
                </c:pt>
                <c:pt idx="14">
                  <c:v>-2440.3758423126637</c:v>
                </c:pt>
                <c:pt idx="15">
                  <c:v>-4129.3496021076289</c:v>
                </c:pt>
                <c:pt idx="16">
                  <c:v>-6648.8214964723475</c:v>
                </c:pt>
                <c:pt idx="17">
                  <c:v>-9382.4359084361222</c:v>
                </c:pt>
                <c:pt idx="18">
                  <c:v>-12116.050320399885</c:v>
                </c:pt>
                <c:pt idx="19">
                  <c:v>-14849.664732363652</c:v>
                </c:pt>
                <c:pt idx="20">
                  <c:v>-17583.279144327404</c:v>
                </c:pt>
              </c:numCache>
            </c:numRef>
          </c:val>
          <c:smooth val="0"/>
          <c:extLst>
            <c:ext xmlns:c16="http://schemas.microsoft.com/office/drawing/2014/chart" uri="{C3380CC4-5D6E-409C-BE32-E72D297353CC}">
              <c16:uniqueId val="{00000001-6BBC-41FC-BBE6-6EFD60D005A5}"/>
            </c:ext>
          </c:extLst>
        </c:ser>
        <c:dLbls>
          <c:showLegendKey val="0"/>
          <c:showVal val="0"/>
          <c:showCatName val="0"/>
          <c:showSerName val="0"/>
          <c:showPercent val="0"/>
          <c:showBubbleSize val="0"/>
        </c:dLbls>
        <c:smooth val="0"/>
        <c:axId val="225117696"/>
        <c:axId val="225119232"/>
      </c:lineChart>
      <c:catAx>
        <c:axId val="225117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19232"/>
        <c:crosses val="autoZero"/>
        <c:auto val="1"/>
        <c:lblAlgn val="ctr"/>
        <c:lblOffset val="100"/>
        <c:noMultiLvlLbl val="0"/>
      </c:catAx>
      <c:valAx>
        <c:axId val="22511923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17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GB" sz="2400"/>
              <a:t>NPV Sensitivity</a:t>
            </a:r>
          </a:p>
        </c:rich>
      </c:tx>
      <c:layout>
        <c:manualLayout>
          <c:xMode val="edge"/>
          <c:yMode val="edge"/>
          <c:x val="0.38928745017983862"/>
          <c:y val="3.8138825324180017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Sens. Units</c:v>
          </c:tx>
          <c:spPr>
            <a:ln w="28575" cap="rnd">
              <a:solidFill>
                <a:schemeClr val="accent1"/>
              </a:solidFill>
              <a:round/>
            </a:ln>
            <a:effectLst/>
          </c:spPr>
          <c:marker>
            <c:symbol val="none"/>
          </c:marker>
          <c:cat>
            <c:numRef>
              <c:f>'HEP exp.+financing in practice'!$J$3:$N$3</c:f>
              <c:numCache>
                <c:formatCode>General</c:formatCode>
                <c:ptCount val="5"/>
              </c:numCache>
            </c:numRef>
          </c:cat>
          <c:val>
            <c:numRef>
              <c:f>'HEP exp.+financing in practice'!$J$4:$N$4</c:f>
              <c:numCache>
                <c:formatCode>General</c:formatCode>
                <c:ptCount val="5"/>
              </c:numCache>
            </c:numRef>
          </c:val>
          <c:smooth val="0"/>
          <c:extLst>
            <c:ext xmlns:c16="http://schemas.microsoft.com/office/drawing/2014/chart" uri="{C3380CC4-5D6E-409C-BE32-E72D297353CC}">
              <c16:uniqueId val="{00000000-B6F6-4CFD-AB90-148304877C46}"/>
            </c:ext>
          </c:extLst>
        </c:ser>
        <c:ser>
          <c:idx val="1"/>
          <c:order val="1"/>
          <c:tx>
            <c:v>Sens. Var. Costs</c:v>
          </c:tx>
          <c:spPr>
            <a:ln w="28575" cap="rnd">
              <a:solidFill>
                <a:schemeClr val="accent2"/>
              </a:solidFill>
              <a:round/>
            </a:ln>
            <a:effectLst/>
          </c:spPr>
          <c:marker>
            <c:symbol val="none"/>
          </c:marker>
          <c:cat>
            <c:numRef>
              <c:f>'HEP exp.+financing in practice'!$J$3:$N$3</c:f>
              <c:numCache>
                <c:formatCode>General</c:formatCode>
                <c:ptCount val="5"/>
              </c:numCache>
            </c:numRef>
          </c:cat>
          <c:val>
            <c:numRef>
              <c:f>'HEP exp.+financing in practice'!$J$12:$N$12</c:f>
              <c:numCache>
                <c:formatCode>General</c:formatCode>
                <c:ptCount val="5"/>
              </c:numCache>
            </c:numRef>
          </c:val>
          <c:smooth val="0"/>
          <c:extLst>
            <c:ext xmlns:c16="http://schemas.microsoft.com/office/drawing/2014/chart" uri="{C3380CC4-5D6E-409C-BE32-E72D297353CC}">
              <c16:uniqueId val="{00000001-B6F6-4CFD-AB90-148304877C46}"/>
            </c:ext>
          </c:extLst>
        </c:ser>
        <c:dLbls>
          <c:showLegendKey val="0"/>
          <c:showVal val="0"/>
          <c:showCatName val="0"/>
          <c:showSerName val="0"/>
          <c:showPercent val="0"/>
          <c:showBubbleSize val="0"/>
        </c:dLbls>
        <c:smooth val="0"/>
        <c:axId val="225155712"/>
        <c:axId val="225157504"/>
      </c:lineChart>
      <c:catAx>
        <c:axId val="22515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157504"/>
        <c:crosses val="autoZero"/>
        <c:auto val="1"/>
        <c:lblAlgn val="ctr"/>
        <c:lblOffset val="100"/>
        <c:noMultiLvlLbl val="0"/>
      </c:catAx>
      <c:valAx>
        <c:axId val="22515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25155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4</xdr:col>
      <xdr:colOff>163830</xdr:colOff>
      <xdr:row>32</xdr:row>
      <xdr:rowOff>129540</xdr:rowOff>
    </xdr:from>
    <xdr:to>
      <xdr:col>12</xdr:col>
      <xdr:colOff>129540</xdr:colOff>
      <xdr:row>57</xdr:row>
      <xdr:rowOff>121920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0</xdr:colOff>
      <xdr:row>1</xdr:row>
      <xdr:rowOff>134471</xdr:rowOff>
    </xdr:from>
    <xdr:to>
      <xdr:col>22</xdr:col>
      <xdr:colOff>304800</xdr:colOff>
      <xdr:row>17</xdr:row>
      <xdr:rowOff>8965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421340</xdr:colOff>
      <xdr:row>1</xdr:row>
      <xdr:rowOff>161365</xdr:rowOff>
    </xdr:from>
    <xdr:to>
      <xdr:col>30</xdr:col>
      <xdr:colOff>116540</xdr:colOff>
      <xdr:row>17</xdr:row>
      <xdr:rowOff>35859</xdr:rowOff>
    </xdr:to>
    <xdr:graphicFrame macro="">
      <xdr:nvGraphicFramePr>
        <xdr:cNvPr id="3" name="Chart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8965</xdr:colOff>
      <xdr:row>18</xdr:row>
      <xdr:rowOff>26894</xdr:rowOff>
    </xdr:from>
    <xdr:to>
      <xdr:col>22</xdr:col>
      <xdr:colOff>313765</xdr:colOff>
      <xdr:row>34</xdr:row>
      <xdr:rowOff>35859</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466165</xdr:colOff>
      <xdr:row>18</xdr:row>
      <xdr:rowOff>0</xdr:rowOff>
    </xdr:from>
    <xdr:to>
      <xdr:col>30</xdr:col>
      <xdr:colOff>161365</xdr:colOff>
      <xdr:row>34</xdr:row>
      <xdr:rowOff>8965</xdr:rowOff>
    </xdr:to>
    <xdr:graphicFrame macro="">
      <xdr:nvGraphicFramePr>
        <xdr:cNvPr id="5" name="Chart 4">
          <a:extLst>
            <a:ext uri="{FF2B5EF4-FFF2-40B4-BE49-F238E27FC236}">
              <a16:creationId xmlns:a16="http://schemas.microsoft.com/office/drawing/2014/main" id="{00000000-0008-0000-0B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152400</xdr:colOff>
      <xdr:row>87</xdr:row>
      <xdr:rowOff>91440</xdr:rowOff>
    </xdr:from>
    <xdr:to>
      <xdr:col>7</xdr:col>
      <xdr:colOff>335280</xdr:colOff>
      <xdr:row>102</xdr:row>
      <xdr:rowOff>68580</xdr:rowOff>
    </xdr:to>
    <xdr:graphicFrame macro="">
      <xdr:nvGraphicFramePr>
        <xdr:cNvPr id="6" name="Chart 5">
          <a:extLst>
            <a:ext uri="{FF2B5EF4-FFF2-40B4-BE49-F238E27FC236}">
              <a16:creationId xmlns:a16="http://schemas.microsoft.com/office/drawing/2014/main"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327660</xdr:colOff>
      <xdr:row>87</xdr:row>
      <xdr:rowOff>15240</xdr:rowOff>
    </xdr:from>
    <xdr:to>
      <xdr:col>14</xdr:col>
      <xdr:colOff>205740</xdr:colOff>
      <xdr:row>101</xdr:row>
      <xdr:rowOff>175260</xdr:rowOff>
    </xdr:to>
    <xdr:graphicFrame macro="">
      <xdr:nvGraphicFramePr>
        <xdr:cNvPr id="7" name="Chart 6">
          <a:extLst>
            <a:ext uri="{FF2B5EF4-FFF2-40B4-BE49-F238E27FC236}">
              <a16:creationId xmlns:a16="http://schemas.microsoft.com/office/drawing/2014/main" i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525780</xdr:colOff>
      <xdr:row>87</xdr:row>
      <xdr:rowOff>15240</xdr:rowOff>
    </xdr:from>
    <xdr:to>
      <xdr:col>22</xdr:col>
      <xdr:colOff>220980</xdr:colOff>
      <xdr:row>101</xdr:row>
      <xdr:rowOff>175260</xdr:rowOff>
    </xdr:to>
    <xdr:graphicFrame macro="">
      <xdr:nvGraphicFramePr>
        <xdr:cNvPr id="8" name="Chart 7">
          <a:extLst>
            <a:ext uri="{FF2B5EF4-FFF2-40B4-BE49-F238E27FC236}">
              <a16:creationId xmlns:a16="http://schemas.microsoft.com/office/drawing/2014/main" id="{00000000-0008-0000-0B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586740</xdr:colOff>
      <xdr:row>10</xdr:row>
      <xdr:rowOff>60960</xdr:rowOff>
    </xdr:from>
    <xdr:to>
      <xdr:col>39</xdr:col>
      <xdr:colOff>38100</xdr:colOff>
      <xdr:row>27</xdr:row>
      <xdr:rowOff>45720</xdr:rowOff>
    </xdr:to>
    <xdr:graphicFrame macro="">
      <xdr:nvGraphicFramePr>
        <xdr:cNvPr id="9" name="Chart 8">
          <a:extLst>
            <a:ext uri="{FF2B5EF4-FFF2-40B4-BE49-F238E27FC236}">
              <a16:creationId xmlns:a16="http://schemas.microsoft.com/office/drawing/2014/main" id="{00000000-0008-0000-0B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0</xdr:colOff>
      <xdr:row>1</xdr:row>
      <xdr:rowOff>134471</xdr:rowOff>
    </xdr:from>
    <xdr:to>
      <xdr:col>22</xdr:col>
      <xdr:colOff>304800</xdr:colOff>
      <xdr:row>17</xdr:row>
      <xdr:rowOff>8965</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421340</xdr:colOff>
      <xdr:row>1</xdr:row>
      <xdr:rowOff>161365</xdr:rowOff>
    </xdr:from>
    <xdr:to>
      <xdr:col>30</xdr:col>
      <xdr:colOff>116540</xdr:colOff>
      <xdr:row>17</xdr:row>
      <xdr:rowOff>35859</xdr:rowOff>
    </xdr:to>
    <xdr:graphicFrame macro="">
      <xdr:nvGraphicFramePr>
        <xdr:cNvPr id="3" name="Chart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8965</xdr:colOff>
      <xdr:row>18</xdr:row>
      <xdr:rowOff>26894</xdr:rowOff>
    </xdr:from>
    <xdr:to>
      <xdr:col>22</xdr:col>
      <xdr:colOff>313765</xdr:colOff>
      <xdr:row>34</xdr:row>
      <xdr:rowOff>35859</xdr:rowOff>
    </xdr:to>
    <xdr:graphicFrame macro="">
      <xdr:nvGraphicFramePr>
        <xdr:cNvPr id="4" name="Chart 3">
          <a:extLst>
            <a:ext uri="{FF2B5EF4-FFF2-40B4-BE49-F238E27FC236}">
              <a16:creationId xmlns:a16="http://schemas.microsoft.com/office/drawing/2014/main" id="{00000000-0008-0000-0C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466165</xdr:colOff>
      <xdr:row>18</xdr:row>
      <xdr:rowOff>0</xdr:rowOff>
    </xdr:from>
    <xdr:to>
      <xdr:col>30</xdr:col>
      <xdr:colOff>161365</xdr:colOff>
      <xdr:row>34</xdr:row>
      <xdr:rowOff>8965</xdr:rowOff>
    </xdr:to>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152400</xdr:colOff>
      <xdr:row>87</xdr:row>
      <xdr:rowOff>91440</xdr:rowOff>
    </xdr:from>
    <xdr:to>
      <xdr:col>7</xdr:col>
      <xdr:colOff>335280</xdr:colOff>
      <xdr:row>102</xdr:row>
      <xdr:rowOff>68580</xdr:rowOff>
    </xdr:to>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327660</xdr:colOff>
      <xdr:row>87</xdr:row>
      <xdr:rowOff>15240</xdr:rowOff>
    </xdr:from>
    <xdr:to>
      <xdr:col>14</xdr:col>
      <xdr:colOff>205740</xdr:colOff>
      <xdr:row>101</xdr:row>
      <xdr:rowOff>175260</xdr:rowOff>
    </xdr:to>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525780</xdr:colOff>
      <xdr:row>87</xdr:row>
      <xdr:rowOff>15240</xdr:rowOff>
    </xdr:from>
    <xdr:to>
      <xdr:col>22</xdr:col>
      <xdr:colOff>220980</xdr:colOff>
      <xdr:row>101</xdr:row>
      <xdr:rowOff>175260</xdr:rowOff>
    </xdr:to>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586740</xdr:colOff>
      <xdr:row>10</xdr:row>
      <xdr:rowOff>60960</xdr:rowOff>
    </xdr:from>
    <xdr:to>
      <xdr:col>39</xdr:col>
      <xdr:colOff>38100</xdr:colOff>
      <xdr:row>27</xdr:row>
      <xdr:rowOff>45720</xdr:rowOff>
    </xdr:to>
    <xdr:graphicFrame macro="">
      <xdr:nvGraphicFramePr>
        <xdr:cNvPr id="9" name="Chart 8">
          <a:extLst>
            <a:ext uri="{FF2B5EF4-FFF2-40B4-BE49-F238E27FC236}">
              <a16:creationId xmlns:a16="http://schemas.microsoft.com/office/drawing/2014/main" id="{00000000-0008-0000-0C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96</xdr:row>
      <xdr:rowOff>91440</xdr:rowOff>
    </xdr:from>
    <xdr:to>
      <xdr:col>7</xdr:col>
      <xdr:colOff>335280</xdr:colOff>
      <xdr:row>111</xdr:row>
      <xdr:rowOff>68580</xdr:rowOff>
    </xdr:to>
    <xdr:graphicFrame macro="">
      <xdr:nvGraphicFramePr>
        <xdr:cNvPr id="6" name="Chart 5">
          <a:extLst>
            <a:ext uri="{FF2B5EF4-FFF2-40B4-BE49-F238E27FC236}">
              <a16:creationId xmlns:a16="http://schemas.microsoft.com/office/drawing/2014/main" id="{00000000-0008-0000-0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327660</xdr:colOff>
      <xdr:row>96</xdr:row>
      <xdr:rowOff>15240</xdr:rowOff>
    </xdr:from>
    <xdr:to>
      <xdr:col>14</xdr:col>
      <xdr:colOff>205740</xdr:colOff>
      <xdr:row>110</xdr:row>
      <xdr:rowOff>175260</xdr:rowOff>
    </xdr:to>
    <xdr:graphicFrame macro="">
      <xdr:nvGraphicFramePr>
        <xdr:cNvPr id="7" name="Chart 6">
          <a:extLst>
            <a:ext uri="{FF2B5EF4-FFF2-40B4-BE49-F238E27FC236}">
              <a16:creationId xmlns:a16="http://schemas.microsoft.com/office/drawing/2014/main" id="{00000000-0008-0000-0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525780</xdr:colOff>
      <xdr:row>96</xdr:row>
      <xdr:rowOff>15240</xdr:rowOff>
    </xdr:from>
    <xdr:to>
      <xdr:col>22</xdr:col>
      <xdr:colOff>220980</xdr:colOff>
      <xdr:row>110</xdr:row>
      <xdr:rowOff>175260</xdr:rowOff>
    </xdr:to>
    <xdr:graphicFrame macro="">
      <xdr:nvGraphicFramePr>
        <xdr:cNvPr id="8" name="Chart 7">
          <a:extLst>
            <a:ext uri="{FF2B5EF4-FFF2-40B4-BE49-F238E27FC236}">
              <a16:creationId xmlns:a16="http://schemas.microsoft.com/office/drawing/2014/main" id="{00000000-0008-0000-0F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586740</xdr:colOff>
      <xdr:row>10</xdr:row>
      <xdr:rowOff>60960</xdr:rowOff>
    </xdr:from>
    <xdr:to>
      <xdr:col>39</xdr:col>
      <xdr:colOff>38100</xdr:colOff>
      <xdr:row>36</xdr:row>
      <xdr:rowOff>45720</xdr:rowOff>
    </xdr:to>
    <xdr:graphicFrame macro="">
      <xdr:nvGraphicFramePr>
        <xdr:cNvPr id="9" name="Chart 8">
          <a:extLst>
            <a:ext uri="{FF2B5EF4-FFF2-40B4-BE49-F238E27FC236}">
              <a16:creationId xmlns:a16="http://schemas.microsoft.com/office/drawing/2014/main" id="{00000000-0008-0000-0F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152400</xdr:colOff>
      <xdr:row>110</xdr:row>
      <xdr:rowOff>91440</xdr:rowOff>
    </xdr:from>
    <xdr:to>
      <xdr:col>7</xdr:col>
      <xdr:colOff>335280</xdr:colOff>
      <xdr:row>125</xdr:row>
      <xdr:rowOff>68580</xdr:rowOff>
    </xdr:to>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327660</xdr:colOff>
      <xdr:row>110</xdr:row>
      <xdr:rowOff>15240</xdr:rowOff>
    </xdr:from>
    <xdr:to>
      <xdr:col>14</xdr:col>
      <xdr:colOff>205740</xdr:colOff>
      <xdr:row>124</xdr:row>
      <xdr:rowOff>175260</xdr:rowOff>
    </xdr:to>
    <xdr:graphicFrame macro="">
      <xdr:nvGraphicFramePr>
        <xdr:cNvPr id="7" name="Chart 6">
          <a:extLst>
            <a:ext uri="{FF2B5EF4-FFF2-40B4-BE49-F238E27FC236}">
              <a16:creationId xmlns:a16="http://schemas.microsoft.com/office/drawing/2014/main" id="{00000000-0008-0000-0E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525780</xdr:colOff>
      <xdr:row>110</xdr:row>
      <xdr:rowOff>15240</xdr:rowOff>
    </xdr:from>
    <xdr:to>
      <xdr:col>22</xdr:col>
      <xdr:colOff>220980</xdr:colOff>
      <xdr:row>124</xdr:row>
      <xdr:rowOff>175260</xdr:rowOff>
    </xdr:to>
    <xdr:graphicFrame macro="">
      <xdr:nvGraphicFramePr>
        <xdr:cNvPr id="8" name="Chart 7">
          <a:extLst>
            <a:ext uri="{FF2B5EF4-FFF2-40B4-BE49-F238E27FC236}">
              <a16:creationId xmlns:a16="http://schemas.microsoft.com/office/drawing/2014/main" id="{00000000-0008-0000-0E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586740</xdr:colOff>
      <xdr:row>10</xdr:row>
      <xdr:rowOff>60960</xdr:rowOff>
    </xdr:from>
    <xdr:to>
      <xdr:col>39</xdr:col>
      <xdr:colOff>38100</xdr:colOff>
      <xdr:row>38</xdr:row>
      <xdr:rowOff>45720</xdr:rowOff>
    </xdr:to>
    <xdr:graphicFrame macro="">
      <xdr:nvGraphicFramePr>
        <xdr:cNvPr id="9" name="Chart 8">
          <a:extLst>
            <a:ext uri="{FF2B5EF4-FFF2-40B4-BE49-F238E27FC236}">
              <a16:creationId xmlns:a16="http://schemas.microsoft.com/office/drawing/2014/main" id="{00000000-0008-0000-0E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68580</xdr:colOff>
      <xdr:row>58</xdr:row>
      <xdr:rowOff>7620</xdr:rowOff>
    </xdr:from>
    <xdr:to>
      <xdr:col>12</xdr:col>
      <xdr:colOff>632460</xdr:colOff>
      <xdr:row>64</xdr:row>
      <xdr:rowOff>7620</xdr:rowOff>
    </xdr:to>
    <xdr:cxnSp macro="">
      <xdr:nvCxnSpPr>
        <xdr:cNvPr id="3" name="Straight Arrow Connector 2">
          <a:extLst>
            <a:ext uri="{FF2B5EF4-FFF2-40B4-BE49-F238E27FC236}">
              <a16:creationId xmlns:a16="http://schemas.microsoft.com/office/drawing/2014/main" id="{00000000-0008-0000-0D00-000003000000}"/>
            </a:ext>
          </a:extLst>
        </xdr:cNvPr>
        <xdr:cNvCxnSpPr/>
      </xdr:nvCxnSpPr>
      <xdr:spPr>
        <a:xfrm flipH="1">
          <a:off x="2948940" y="10424160"/>
          <a:ext cx="8328660" cy="1097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3" Type="http://schemas.openxmlformats.org/officeDocument/2006/relationships/hyperlink" Target="http://marketrealist.com/2015/08/reits-dividend-yield-higher-compared-asset-classes/" TargetMode="External"/><Relationship Id="rId2" Type="http://schemas.openxmlformats.org/officeDocument/2006/relationships/hyperlink" Target="https://www.reit.com/data-research/data/industry-snapshot" TargetMode="External"/><Relationship Id="rId1" Type="http://schemas.openxmlformats.org/officeDocument/2006/relationships/hyperlink" Target="http://pages.stern.nyu.edu/~adamodar/New_Home_Page/datafile/Betas.html"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hyperlink" Target="https://www.reit.com/data-research/research/market-commentary/reit-returns-volatilities-correlation-beta-three-months"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topLeftCell="A65" zoomScaleNormal="100" workbookViewId="0">
      <selection activeCell="C69" sqref="C69"/>
    </sheetView>
  </sheetViews>
  <sheetFormatPr defaultRowHeight="14.5" outlineLevelRow="1" x14ac:dyDescent="0.35"/>
  <cols>
    <col min="1" max="1" width="18.1796875" customWidth="1"/>
    <col min="2" max="2" width="14.453125" customWidth="1"/>
    <col min="3" max="3" width="10.90625" customWidth="1"/>
    <col min="4" max="4" width="12.54296875" customWidth="1"/>
    <col min="5" max="5" width="12" bestFit="1" customWidth="1"/>
    <col min="11" max="11" width="20" customWidth="1"/>
  </cols>
  <sheetData>
    <row r="1" spans="1:16" x14ac:dyDescent="0.35">
      <c r="A1" s="6"/>
      <c r="B1" s="6"/>
      <c r="C1" s="6"/>
      <c r="D1" s="6"/>
      <c r="E1" s="6"/>
      <c r="F1" s="6"/>
      <c r="G1" s="6"/>
      <c r="H1" s="6"/>
      <c r="I1" s="6"/>
      <c r="J1" s="6"/>
      <c r="K1" s="6"/>
      <c r="L1" s="6"/>
      <c r="M1" s="6"/>
      <c r="N1" s="6"/>
      <c r="O1" s="6"/>
      <c r="P1" s="6"/>
    </row>
    <row r="2" spans="1:16" x14ac:dyDescent="0.35">
      <c r="A2" s="6" t="s">
        <v>310</v>
      </c>
      <c r="B2" s="32">
        <v>4</v>
      </c>
      <c r="C2" s="31"/>
      <c r="D2" s="31"/>
      <c r="E2" s="31"/>
      <c r="F2" s="31"/>
      <c r="G2" s="6"/>
      <c r="H2" s="6"/>
      <c r="I2" s="6"/>
      <c r="J2" s="6"/>
      <c r="K2" s="6"/>
      <c r="L2" s="6"/>
      <c r="M2" s="6"/>
      <c r="N2" s="6"/>
      <c r="O2" s="6"/>
      <c r="P2" s="6"/>
    </row>
    <row r="3" spans="1:16" x14ac:dyDescent="0.35">
      <c r="A3" s="6" t="s">
        <v>0</v>
      </c>
      <c r="B3" s="7" t="s">
        <v>2</v>
      </c>
      <c r="C3" s="12">
        <v>0.1</v>
      </c>
      <c r="D3" s="6" t="s">
        <v>25</v>
      </c>
      <c r="E3" s="6"/>
      <c r="F3" s="6"/>
      <c r="G3" s="6"/>
      <c r="H3" s="6"/>
      <c r="I3" s="6"/>
      <c r="J3" s="6"/>
      <c r="K3" s="2" t="s">
        <v>19</v>
      </c>
      <c r="L3" s="2"/>
      <c r="M3" s="2"/>
      <c r="N3" s="2"/>
      <c r="O3" s="2"/>
      <c r="P3" s="2"/>
    </row>
    <row r="4" spans="1:16" x14ac:dyDescent="0.35">
      <c r="A4" s="6"/>
      <c r="B4" s="7"/>
      <c r="C4" s="12"/>
      <c r="D4" s="6"/>
      <c r="E4" s="6"/>
      <c r="F4" s="6"/>
      <c r="G4" s="6"/>
      <c r="H4" s="6"/>
      <c r="I4" s="6"/>
      <c r="J4" s="6"/>
      <c r="K4" s="2"/>
      <c r="L4" s="2"/>
      <c r="M4" s="2"/>
      <c r="N4" s="2"/>
      <c r="O4" s="2"/>
      <c r="P4" s="2"/>
    </row>
    <row r="5" spans="1:16" x14ac:dyDescent="0.35">
      <c r="A5" s="6"/>
      <c r="B5" s="128">
        <v>0</v>
      </c>
      <c r="C5" s="128">
        <v>1</v>
      </c>
      <c r="D5" s="128">
        <v>2</v>
      </c>
      <c r="E5" s="128">
        <v>3</v>
      </c>
      <c r="F5" s="128">
        <v>4</v>
      </c>
      <c r="G5" s="6"/>
      <c r="H5" s="6">
        <f>+INDEX(B7:F7,1,MATCH(0,B7:F7))</f>
        <v>-300</v>
      </c>
      <c r="I5" s="6"/>
      <c r="J5" s="6"/>
      <c r="K5" s="1" t="s">
        <v>228</v>
      </c>
      <c r="L5" s="2"/>
      <c r="M5" s="2"/>
      <c r="N5" s="2"/>
      <c r="O5" s="2"/>
      <c r="P5" s="2"/>
    </row>
    <row r="6" spans="1:16" x14ac:dyDescent="0.35">
      <c r="A6" s="6"/>
      <c r="B6" s="187">
        <v>-3000</v>
      </c>
      <c r="C6" s="93">
        <v>1500</v>
      </c>
      <c r="D6" s="187">
        <v>1200</v>
      </c>
      <c r="E6" s="187">
        <v>800</v>
      </c>
      <c r="F6" s="187">
        <v>300</v>
      </c>
      <c r="G6" s="6"/>
      <c r="H6" s="6">
        <f>+MATCH(0,B7:F7)</f>
        <v>3</v>
      </c>
      <c r="I6" s="6"/>
      <c r="J6" s="31"/>
      <c r="K6" s="3" t="s">
        <v>18</v>
      </c>
      <c r="L6" s="3">
        <f>MATCH(0,C7:F7)-INDEX(C7:F7,1,MATCH(0,C7:F7))/INDEX(C6:F6,1,MATCH(0,C7:F7)+1)</f>
        <v>2.375</v>
      </c>
      <c r="M6" s="3"/>
      <c r="N6" s="2" t="s">
        <v>68</v>
      </c>
      <c r="O6" s="3">
        <f>MATCH(0,C9:F9)+-INDEX(C9:F9,1,MATCH(0,C9:F9))/INDEX(C8:F8,1,MATCH(0,C9:F9)+1)</f>
        <v>3.212666666666669</v>
      </c>
      <c r="P6" s="2"/>
    </row>
    <row r="7" spans="1:16" x14ac:dyDescent="0.35">
      <c r="A7" s="6" t="s">
        <v>20</v>
      </c>
      <c r="B7" s="31">
        <f>B6</f>
        <v>-3000</v>
      </c>
      <c r="C7" s="31">
        <f>B7+C6</f>
        <v>-1500</v>
      </c>
      <c r="D7" s="31">
        <f>C7+D6</f>
        <v>-300</v>
      </c>
      <c r="E7" s="31">
        <f>D7+E6</f>
        <v>500</v>
      </c>
      <c r="F7" s="31">
        <f>E7+F6</f>
        <v>800</v>
      </c>
      <c r="G7" s="6"/>
      <c r="H7" s="6"/>
      <c r="I7" s="6"/>
      <c r="J7" s="31"/>
      <c r="K7" s="4" t="s">
        <v>14</v>
      </c>
      <c r="L7" s="2"/>
      <c r="M7" s="2"/>
      <c r="N7" s="2"/>
      <c r="O7" s="2"/>
      <c r="P7" s="2"/>
    </row>
    <row r="8" spans="1:16" x14ac:dyDescent="0.35">
      <c r="A8" s="6" t="s">
        <v>3</v>
      </c>
      <c r="B8" s="31">
        <f>B6/(1+$C$3)^B5</f>
        <v>-3000</v>
      </c>
      <c r="C8" s="31">
        <f>C6/(1+$C$3)^C5</f>
        <v>1363.6363636363635</v>
      </c>
      <c r="D8" s="31">
        <f>D6/(1+$C$3)^D5</f>
        <v>991.73553719008248</v>
      </c>
      <c r="E8" s="31">
        <f t="shared" ref="E8:F8" si="0">E6/(1+$C$3)^E5</f>
        <v>601.05184072126201</v>
      </c>
      <c r="F8" s="31">
        <f t="shared" si="0"/>
        <v>204.90403660952114</v>
      </c>
      <c r="G8" s="6"/>
      <c r="H8" s="6"/>
      <c r="I8" s="6"/>
      <c r="J8" s="6"/>
      <c r="K8" s="2" t="s">
        <v>15</v>
      </c>
      <c r="L8" s="2">
        <f>MATCH(0,C7:F7)</f>
        <v>2</v>
      </c>
      <c r="M8" s="3"/>
      <c r="N8" s="2"/>
      <c r="O8" s="2"/>
      <c r="P8" s="2"/>
    </row>
    <row r="9" spans="1:16" x14ac:dyDescent="0.35">
      <c r="A9" s="6" t="s">
        <v>22</v>
      </c>
      <c r="B9" s="31">
        <f>B8</f>
        <v>-3000</v>
      </c>
      <c r="C9" s="31">
        <f>B9+C8</f>
        <v>-1636.3636363636365</v>
      </c>
      <c r="D9" s="31">
        <f>C9+D8</f>
        <v>-644.62809917355401</v>
      </c>
      <c r="E9" s="31">
        <f>D9+E8</f>
        <v>-43.576258452291995</v>
      </c>
      <c r="F9" s="31">
        <f>E9+F8</f>
        <v>161.32777815722915</v>
      </c>
      <c r="G9" s="6"/>
      <c r="H9" s="6"/>
      <c r="I9" s="6"/>
      <c r="J9" s="6"/>
      <c r="K9" s="2" t="s">
        <v>16</v>
      </c>
      <c r="L9" s="2">
        <f>-INDEX(C7:F7,1,MATCH(0,C7:F7))</f>
        <v>300</v>
      </c>
      <c r="M9" s="2"/>
      <c r="N9" s="2" t="s">
        <v>223</v>
      </c>
      <c r="O9" s="2"/>
      <c r="P9" s="2"/>
    </row>
    <row r="10" spans="1:16" x14ac:dyDescent="0.35">
      <c r="A10" s="7" t="s">
        <v>6</v>
      </c>
      <c r="B10" s="11">
        <f>SUM(B8:F8)</f>
        <v>161.32777815722915</v>
      </c>
      <c r="C10" s="6"/>
      <c r="D10" s="6" t="s">
        <v>4</v>
      </c>
      <c r="E10" s="40">
        <f>NPV(C3,B6:F6)</f>
        <v>146.6616165065719</v>
      </c>
      <c r="F10" s="6" t="s">
        <v>221</v>
      </c>
      <c r="G10" s="6"/>
      <c r="H10" s="6"/>
      <c r="I10" s="6"/>
      <c r="J10" s="6"/>
      <c r="K10" s="2" t="s">
        <v>17</v>
      </c>
      <c r="L10" s="2">
        <f>INDEX(C6:F6,1,MATCH(0,C7:F7)+1)</f>
        <v>800</v>
      </c>
      <c r="M10" s="2"/>
      <c r="N10" s="2" t="s">
        <v>224</v>
      </c>
      <c r="O10" s="2"/>
      <c r="P10" s="2"/>
    </row>
    <row r="11" spans="1:16" x14ac:dyDescent="0.35">
      <c r="A11" s="7"/>
      <c r="B11" s="11"/>
      <c r="C11" s="6"/>
      <c r="D11" s="6" t="s">
        <v>222</v>
      </c>
      <c r="E11" s="40">
        <f>B6+NPV(C3,C6:F6)</f>
        <v>161.3277781572292</v>
      </c>
      <c r="F11" s="6" t="s">
        <v>10</v>
      </c>
      <c r="G11" s="6"/>
      <c r="H11" s="6"/>
      <c r="I11" s="6"/>
      <c r="J11" s="6"/>
      <c r="K11" s="2"/>
      <c r="L11" s="2"/>
      <c r="M11" s="2"/>
      <c r="N11" s="2" t="s">
        <v>225</v>
      </c>
      <c r="O11" s="2"/>
      <c r="P11" s="2"/>
    </row>
    <row r="12" spans="1:16" x14ac:dyDescent="0.35">
      <c r="A12" s="7" t="s">
        <v>311</v>
      </c>
      <c r="B12" s="11"/>
      <c r="C12" s="6"/>
      <c r="D12" s="6"/>
      <c r="E12" s="40"/>
      <c r="F12" s="6"/>
      <c r="G12" s="6"/>
      <c r="H12" s="6"/>
      <c r="I12" s="6"/>
      <c r="J12" s="6"/>
      <c r="K12" s="2" t="s">
        <v>314</v>
      </c>
      <c r="L12" s="3">
        <f>L8+L9/L10</f>
        <v>2.375</v>
      </c>
      <c r="M12" s="2"/>
      <c r="N12" s="2"/>
      <c r="O12" s="2"/>
      <c r="P12" s="2"/>
    </row>
    <row r="13" spans="1:16" outlineLevel="1" x14ac:dyDescent="0.35">
      <c r="A13" s="8" t="s">
        <v>312</v>
      </c>
      <c r="B13" s="11"/>
      <c r="C13" s="112">
        <f>FV($F$15,$B$2-C5,0,-C6)</f>
        <v>1996.5000000000007</v>
      </c>
      <c r="D13" s="40">
        <f>FV($F$15,$B$2-D5,0,-D6)</f>
        <v>1452.0000000000002</v>
      </c>
      <c r="E13" s="40">
        <f>FV($F$15,$B$2-E5,0,-E6)</f>
        <v>880.00000000000011</v>
      </c>
      <c r="F13" s="40">
        <f>FV($F$15,$B$2-F5,0,-F6)</f>
        <v>300</v>
      </c>
      <c r="G13" s="6"/>
      <c r="H13" s="6" t="s">
        <v>309</v>
      </c>
      <c r="I13" s="6"/>
      <c r="J13" s="6"/>
      <c r="K13" s="2"/>
      <c r="L13" s="2"/>
      <c r="M13" s="2"/>
      <c r="N13" s="2" t="s">
        <v>226</v>
      </c>
      <c r="O13" s="2"/>
      <c r="P13" s="2"/>
    </row>
    <row r="14" spans="1:16" outlineLevel="1" x14ac:dyDescent="0.35">
      <c r="A14" s="8" t="s">
        <v>313</v>
      </c>
      <c r="B14" s="11">
        <f>B6/(1+$C$3)^B5</f>
        <v>-3000</v>
      </c>
      <c r="C14" s="11"/>
      <c r="D14" s="11"/>
      <c r="E14" s="40"/>
      <c r="F14" s="40"/>
      <c r="G14" s="6"/>
      <c r="H14" s="6"/>
      <c r="I14" s="6"/>
      <c r="J14" s="6"/>
      <c r="K14" s="2"/>
      <c r="L14" s="2"/>
      <c r="M14" s="2"/>
      <c r="N14" s="2"/>
      <c r="O14" s="2"/>
      <c r="P14" s="2"/>
    </row>
    <row r="15" spans="1:16" outlineLevel="1" x14ac:dyDescent="0.35">
      <c r="A15" s="7" t="s">
        <v>23</v>
      </c>
      <c r="B15" s="41">
        <f>B14-PV(C3,B2,0,H15)</f>
        <v>161.32777815722966</v>
      </c>
      <c r="C15" s="6"/>
      <c r="D15" s="6" t="s">
        <v>27</v>
      </c>
      <c r="E15" s="6"/>
      <c r="F15" s="13">
        <v>0.1</v>
      </c>
      <c r="G15" s="6"/>
      <c r="H15" s="40">
        <f>SUM(C13:F13)</f>
        <v>4628.5000000000009</v>
      </c>
      <c r="I15" s="6"/>
      <c r="J15" s="6"/>
      <c r="K15" s="2"/>
      <c r="L15" s="2"/>
      <c r="M15" s="2"/>
      <c r="N15" s="2" t="s">
        <v>227</v>
      </c>
      <c r="O15" s="2"/>
      <c r="P15" s="2"/>
    </row>
    <row r="16" spans="1:16" x14ac:dyDescent="0.35">
      <c r="A16" s="7" t="s">
        <v>7</v>
      </c>
      <c r="B16" s="39">
        <f>IRR(B6:F6)</f>
        <v>0.13113978948134974</v>
      </c>
      <c r="C16" s="6"/>
      <c r="D16" s="6"/>
      <c r="E16" s="6"/>
      <c r="F16" s="6"/>
      <c r="G16" s="6"/>
      <c r="H16" s="6"/>
      <c r="I16" s="6"/>
      <c r="J16" s="6"/>
      <c r="K16" s="1" t="s">
        <v>229</v>
      </c>
      <c r="L16" s="2"/>
      <c r="M16" s="2"/>
      <c r="N16" s="2"/>
      <c r="O16" s="2"/>
      <c r="P16" s="2"/>
    </row>
    <row r="17" spans="1:16" x14ac:dyDescent="0.35">
      <c r="A17" s="7" t="s">
        <v>11</v>
      </c>
      <c r="B17" s="135">
        <f>MIRR(B6:F6,C3,F15)</f>
        <v>0.11449918014118854</v>
      </c>
      <c r="C17" s="6"/>
      <c r="D17" s="184"/>
      <c r="E17" s="40"/>
      <c r="F17" s="6"/>
      <c r="G17" s="6"/>
      <c r="H17" s="6"/>
      <c r="I17" s="6"/>
      <c r="J17" s="6"/>
      <c r="K17" s="3" t="s">
        <v>18</v>
      </c>
      <c r="L17" s="3">
        <f>MATCH(0,B23:F23)-1+-INDEX(B23:F23,1,MATCH(0,B23:F23))/INDEX(C22:F22,1,MATCH(0,B23:F23))</f>
        <v>3.2666666666666666</v>
      </c>
      <c r="M17" s="2"/>
      <c r="N17" s="2" t="s">
        <v>68</v>
      </c>
      <c r="O17" s="3">
        <f>MATCH(0,B25:F25)-1+-INDEX(B25:F25,1,MATCH(0,B25:F25))/INDEX(C24:F24,1,MATCH(0,B25:F25))</f>
        <v>3.8939333333333339</v>
      </c>
      <c r="P17" s="2"/>
    </row>
    <row r="18" spans="1:16" x14ac:dyDescent="0.35">
      <c r="A18" s="6"/>
      <c r="B18" s="6"/>
      <c r="C18" s="6"/>
      <c r="D18" s="6"/>
      <c r="E18" s="6"/>
      <c r="F18" s="6"/>
      <c r="G18" s="6"/>
      <c r="H18" s="6"/>
      <c r="I18" s="6"/>
      <c r="J18" s="6"/>
      <c r="K18" s="2"/>
      <c r="L18" s="2"/>
      <c r="M18" s="2"/>
      <c r="N18" s="2"/>
      <c r="O18" s="2"/>
      <c r="P18" s="2"/>
    </row>
    <row r="19" spans="1:16" x14ac:dyDescent="0.35">
      <c r="A19" s="6" t="s">
        <v>1</v>
      </c>
      <c r="B19" s="7" t="s">
        <v>2</v>
      </c>
      <c r="C19" s="43">
        <v>0.1</v>
      </c>
      <c r="D19" s="6"/>
      <c r="E19" s="6"/>
      <c r="F19" s="6"/>
      <c r="G19" s="6"/>
      <c r="H19" s="6"/>
      <c r="I19" s="6"/>
      <c r="J19" s="6"/>
      <c r="K19" s="2"/>
      <c r="L19" s="2"/>
      <c r="M19" s="2"/>
      <c r="N19" s="2"/>
      <c r="O19" s="2"/>
      <c r="P19" s="2"/>
    </row>
    <row r="20" spans="1:16" x14ac:dyDescent="0.35">
      <c r="A20" s="6"/>
      <c r="B20" s="7"/>
      <c r="C20" s="43"/>
      <c r="D20" s="6"/>
      <c r="E20" s="6"/>
      <c r="F20" s="6"/>
      <c r="G20" s="6"/>
      <c r="H20" s="6"/>
      <c r="I20" s="6"/>
      <c r="J20" s="6"/>
      <c r="K20" s="2"/>
      <c r="L20" s="2"/>
      <c r="M20" s="2"/>
      <c r="N20" s="2"/>
      <c r="O20" s="2"/>
      <c r="P20" s="2"/>
    </row>
    <row r="21" spans="1:16" x14ac:dyDescent="0.35">
      <c r="A21" s="6"/>
      <c r="B21" s="16">
        <v>0</v>
      </c>
      <c r="C21" s="16">
        <v>1</v>
      </c>
      <c r="D21" s="16">
        <v>2</v>
      </c>
      <c r="E21" s="16">
        <v>3</v>
      </c>
      <c r="F21" s="16">
        <v>4</v>
      </c>
      <c r="G21" s="6"/>
      <c r="H21" s="6"/>
      <c r="I21" s="6"/>
      <c r="J21" s="6"/>
      <c r="K21" s="2"/>
      <c r="L21" s="2"/>
      <c r="M21" s="2"/>
      <c r="N21" s="2"/>
      <c r="O21" s="2"/>
      <c r="P21" s="2"/>
    </row>
    <row r="22" spans="1:16" x14ac:dyDescent="0.35">
      <c r="A22" s="6"/>
      <c r="B22" s="6">
        <v>-3000</v>
      </c>
      <c r="C22" s="6">
        <v>400</v>
      </c>
      <c r="D22" s="6">
        <v>900</v>
      </c>
      <c r="E22" s="6">
        <v>1300</v>
      </c>
      <c r="F22" s="6">
        <v>1500</v>
      </c>
      <c r="G22" s="6"/>
      <c r="H22" s="6"/>
      <c r="I22" s="6"/>
      <c r="J22" s="6"/>
      <c r="K22" s="6"/>
      <c r="L22" s="6"/>
      <c r="M22" s="6"/>
      <c r="N22" s="6"/>
      <c r="O22" s="6"/>
      <c r="P22" s="6"/>
    </row>
    <row r="23" spans="1:16" x14ac:dyDescent="0.35">
      <c r="A23" s="6" t="s">
        <v>13</v>
      </c>
      <c r="B23" s="31">
        <f>B22</f>
        <v>-3000</v>
      </c>
      <c r="C23" s="31">
        <f>B23+C22</f>
        <v>-2600</v>
      </c>
      <c r="D23" s="31">
        <f>C23+D22</f>
        <v>-1700</v>
      </c>
      <c r="E23" s="31">
        <f>D23+E22</f>
        <v>-400</v>
      </c>
      <c r="F23" s="31">
        <f>E23+F22</f>
        <v>1100</v>
      </c>
      <c r="G23" s="6"/>
      <c r="H23" s="6"/>
      <c r="I23" s="6"/>
      <c r="J23" s="6"/>
      <c r="K23" s="6"/>
      <c r="L23" s="6"/>
      <c r="M23" s="6"/>
      <c r="N23" s="6"/>
      <c r="O23" s="6"/>
      <c r="P23" s="6"/>
    </row>
    <row r="24" spans="1:16" x14ac:dyDescent="0.35">
      <c r="A24" s="6" t="s">
        <v>3</v>
      </c>
      <c r="B24" s="31">
        <f>B22/(1+$C$19)^B21</f>
        <v>-3000</v>
      </c>
      <c r="C24" s="31">
        <f>C22/(1+$C$19)^C21</f>
        <v>363.63636363636363</v>
      </c>
      <c r="D24" s="31">
        <f>D22/(1+$C$19)^D21</f>
        <v>743.80165289256183</v>
      </c>
      <c r="E24" s="31">
        <f>E22/(1+$C$19)^E21</f>
        <v>976.70924117205084</v>
      </c>
      <c r="F24" s="31">
        <f>F22/(1+$C$19)^F21</f>
        <v>1024.5201830476058</v>
      </c>
      <c r="G24" s="6"/>
      <c r="H24" s="6"/>
      <c r="I24" s="6"/>
      <c r="J24" s="6"/>
      <c r="K24" s="6"/>
      <c r="L24" s="6"/>
      <c r="M24" s="6"/>
      <c r="N24" s="6"/>
      <c r="O24" s="6"/>
      <c r="P24" s="6"/>
    </row>
    <row r="25" spans="1:16" x14ac:dyDescent="0.35">
      <c r="A25" s="6" t="s">
        <v>21</v>
      </c>
      <c r="B25" s="31">
        <f>B24</f>
        <v>-3000</v>
      </c>
      <c r="C25" s="31">
        <f>B25+C24</f>
        <v>-2636.3636363636365</v>
      </c>
      <c r="D25" s="31">
        <f>C25+D24</f>
        <v>-1892.5619834710747</v>
      </c>
      <c r="E25" s="31">
        <f>D25+E24</f>
        <v>-915.85274229902382</v>
      </c>
      <c r="F25" s="31">
        <f>E25+F24</f>
        <v>108.66744074858195</v>
      </c>
      <c r="G25" s="6"/>
      <c r="H25" s="6"/>
      <c r="I25" s="6"/>
      <c r="J25" s="6"/>
      <c r="K25" s="6"/>
      <c r="L25" s="6"/>
      <c r="M25" s="6"/>
      <c r="N25" s="6"/>
      <c r="O25" s="6"/>
      <c r="P25" s="6"/>
    </row>
    <row r="26" spans="1:16" x14ac:dyDescent="0.35">
      <c r="A26" s="7" t="s">
        <v>5</v>
      </c>
      <c r="B26" s="11">
        <f>SUM(B24:F24)</f>
        <v>108.66744074858195</v>
      </c>
      <c r="C26" s="6"/>
      <c r="D26" s="6"/>
      <c r="E26" s="6"/>
      <c r="F26" s="6"/>
      <c r="G26" s="6"/>
      <c r="H26" s="6"/>
      <c r="I26" s="6"/>
      <c r="J26" s="6"/>
      <c r="K26" s="6"/>
      <c r="L26" s="6"/>
      <c r="M26" s="6"/>
      <c r="N26" s="6"/>
      <c r="O26" s="6"/>
      <c r="P26" s="6"/>
    </row>
    <row r="27" spans="1:16" outlineLevel="1" x14ac:dyDescent="0.35">
      <c r="A27" s="8" t="s">
        <v>110</v>
      </c>
      <c r="B27" s="11"/>
      <c r="C27" s="40">
        <f>FV($F$28,4-C21,0,-C22)</f>
        <v>532.4000000000002</v>
      </c>
      <c r="D27" s="40">
        <f t="shared" ref="D27:F27" si="1">FV($F$28,4-D21,0,-D22)</f>
        <v>1089.0000000000002</v>
      </c>
      <c r="E27" s="40">
        <f t="shared" si="1"/>
        <v>1430.0000000000002</v>
      </c>
      <c r="F27" s="40">
        <f t="shared" si="1"/>
        <v>1500</v>
      </c>
      <c r="G27" s="6"/>
      <c r="H27" s="6" t="s">
        <v>230</v>
      </c>
      <c r="I27" s="6"/>
      <c r="J27" s="6"/>
      <c r="K27" s="6"/>
      <c r="L27" s="6"/>
      <c r="M27" s="6"/>
      <c r="N27" s="6"/>
      <c r="O27" s="6"/>
      <c r="P27" s="6"/>
    </row>
    <row r="28" spans="1:16" outlineLevel="1" x14ac:dyDescent="0.35">
      <c r="A28" s="7" t="s">
        <v>26</v>
      </c>
      <c r="B28" s="41">
        <f>B22+PV(C19,4,0,-SUM(C27:F27))</f>
        <v>108.66744074858207</v>
      </c>
      <c r="C28" s="40"/>
      <c r="D28" s="6" t="s">
        <v>27</v>
      </c>
      <c r="E28" s="6"/>
      <c r="F28" s="13">
        <v>0.1</v>
      </c>
      <c r="G28" s="6"/>
      <c r="H28" s="6" t="s">
        <v>28</v>
      </c>
      <c r="I28" s="6"/>
      <c r="J28" s="6"/>
      <c r="K28" s="6"/>
      <c r="L28" s="6"/>
      <c r="M28" s="6"/>
      <c r="N28" s="6"/>
      <c r="O28" s="6"/>
      <c r="P28" s="6"/>
    </row>
    <row r="29" spans="1:16" x14ac:dyDescent="0.35">
      <c r="A29" s="7" t="s">
        <v>9</v>
      </c>
      <c r="B29" s="39">
        <f>IRR(B22:F22)</f>
        <v>0.11381944803412636</v>
      </c>
      <c r="C29" s="6"/>
      <c r="D29" s="6"/>
      <c r="E29" s="6"/>
      <c r="F29" s="6"/>
      <c r="G29" s="6"/>
      <c r="H29" s="6" t="s">
        <v>231</v>
      </c>
      <c r="I29" s="6"/>
      <c r="J29" s="6"/>
      <c r="K29" s="6"/>
      <c r="L29" s="6"/>
      <c r="M29" s="6"/>
      <c r="N29" s="6"/>
      <c r="O29" s="6"/>
      <c r="P29" s="6"/>
    </row>
    <row r="30" spans="1:16" x14ac:dyDescent="0.35">
      <c r="A30" s="7" t="s">
        <v>12</v>
      </c>
      <c r="B30" s="135">
        <f>MIRR(B22:F22,C19,F28)</f>
        <v>0.10982866473854891</v>
      </c>
      <c r="C30" s="6"/>
      <c r="D30" s="6" t="s">
        <v>30</v>
      </c>
      <c r="E30" s="42">
        <f>(SUM(C27:F27)/(-B22))^(1/F21)-1</f>
        <v>0.10982866473854891</v>
      </c>
      <c r="F30" s="6"/>
      <c r="G30" s="6"/>
      <c r="H30" s="6"/>
      <c r="I30" s="6"/>
      <c r="J30" s="6"/>
      <c r="K30" s="6"/>
      <c r="L30" s="6"/>
      <c r="M30" s="6"/>
      <c r="N30" s="6"/>
      <c r="O30" s="6"/>
      <c r="P30" s="6"/>
    </row>
    <row r="31" spans="1:16" x14ac:dyDescent="0.35">
      <c r="A31" s="7"/>
      <c r="B31" s="39"/>
      <c r="C31" s="6"/>
      <c r="D31" s="6" t="s">
        <v>111</v>
      </c>
      <c r="E31" s="42">
        <f>(FV(C19,F21,0,-NPV(C19,C22:F22))/(-B22))^(1/F21)-1</f>
        <v>0.10982866473854891</v>
      </c>
      <c r="F31" s="6"/>
      <c r="G31" s="6"/>
      <c r="H31" s="6"/>
      <c r="I31" s="6"/>
      <c r="J31" s="6"/>
      <c r="K31" s="6"/>
      <c r="L31" s="6"/>
      <c r="M31" s="6"/>
      <c r="N31" s="6"/>
      <c r="O31" s="6"/>
      <c r="P31" s="6"/>
    </row>
    <row r="32" spans="1:16" x14ac:dyDescent="0.35">
      <c r="A32" s="7"/>
      <c r="B32" s="39"/>
      <c r="C32" s="6"/>
      <c r="D32" s="6"/>
      <c r="E32" s="6"/>
      <c r="F32" s="6"/>
      <c r="G32" s="6"/>
      <c r="H32" s="6"/>
      <c r="I32" s="6"/>
      <c r="J32" s="6"/>
      <c r="K32" s="6"/>
      <c r="L32" s="6"/>
      <c r="M32" s="6"/>
      <c r="N32" s="6"/>
      <c r="O32" s="6"/>
      <c r="P32" s="6"/>
    </row>
    <row r="33" spans="1:16" x14ac:dyDescent="0.35">
      <c r="A33" s="6"/>
      <c r="B33" s="6"/>
      <c r="C33" s="6"/>
      <c r="D33" s="6"/>
      <c r="E33" s="6"/>
      <c r="F33" s="6"/>
      <c r="G33" s="6"/>
      <c r="H33" s="6"/>
      <c r="I33" s="6"/>
      <c r="J33" s="6"/>
      <c r="K33" s="6"/>
      <c r="L33" s="6"/>
      <c r="M33" s="6"/>
      <c r="N33" s="6"/>
      <c r="O33" s="6"/>
      <c r="P33" s="6"/>
    </row>
    <row r="34" spans="1:16" x14ac:dyDescent="0.35">
      <c r="A34" s="6" t="s">
        <v>8</v>
      </c>
      <c r="B34" s="6"/>
      <c r="C34" s="6"/>
      <c r="D34" s="6"/>
      <c r="E34" s="6"/>
      <c r="F34" s="6"/>
      <c r="G34" s="6"/>
      <c r="H34" s="6"/>
      <c r="I34" s="6"/>
      <c r="J34" s="6"/>
      <c r="K34" s="6"/>
      <c r="L34" s="6"/>
      <c r="M34" s="6"/>
      <c r="N34" s="6"/>
      <c r="O34" s="6"/>
      <c r="P34" s="6"/>
    </row>
    <row r="35" spans="1:16" x14ac:dyDescent="0.35">
      <c r="A35" s="6"/>
      <c r="B35" s="6" t="s">
        <v>6</v>
      </c>
      <c r="C35" s="6" t="s">
        <v>5</v>
      </c>
      <c r="D35" s="6"/>
      <c r="E35" s="6"/>
      <c r="F35" s="6"/>
      <c r="G35" s="6"/>
      <c r="H35" s="6"/>
      <c r="I35" s="6"/>
      <c r="J35" s="6"/>
      <c r="K35" s="6"/>
      <c r="L35" s="6"/>
      <c r="M35" s="6"/>
      <c r="N35" s="6"/>
      <c r="O35" s="6"/>
      <c r="P35" s="6"/>
    </row>
    <row r="36" spans="1:16" x14ac:dyDescent="0.35">
      <c r="A36" s="42">
        <v>0</v>
      </c>
      <c r="B36" s="31">
        <f>$B$8+NPV($A36,$C$6,$D$6,$E$6,$F$6)</f>
        <v>800</v>
      </c>
      <c r="C36" s="31">
        <f t="shared" ref="C36:C60" si="2">$B$22+NPV($A36,$C$22,$D$22,$E$22,$F$22)</f>
        <v>1100</v>
      </c>
      <c r="D36" s="6"/>
      <c r="E36" s="6"/>
      <c r="F36" s="6"/>
      <c r="G36" s="6"/>
      <c r="H36" s="6"/>
      <c r="I36" s="6"/>
      <c r="J36" s="6"/>
      <c r="K36" s="6"/>
      <c r="L36" s="6"/>
      <c r="M36" s="6"/>
      <c r="N36" s="6"/>
      <c r="O36" s="6"/>
      <c r="P36" s="6"/>
    </row>
    <row r="37" spans="1:16" x14ac:dyDescent="0.35">
      <c r="A37" s="42">
        <f>+A36+0.007</f>
        <v>7.0000000000000001E-3</v>
      </c>
      <c r="B37" s="31">
        <f t="shared" ref="B37:B52" si="3">$B$8+NPV($A37,$C$6,$D$6,$E$6,$F$6)</f>
        <v>748.1252084257676</v>
      </c>
      <c r="C37" s="31">
        <f t="shared" si="2"/>
        <v>1016.5531616885046</v>
      </c>
      <c r="D37" s="6"/>
      <c r="E37" s="6"/>
      <c r="F37" s="6"/>
      <c r="G37" s="6"/>
      <c r="H37" s="6"/>
      <c r="I37" s="6"/>
      <c r="J37" s="6"/>
      <c r="K37" s="6"/>
      <c r="L37" s="6"/>
      <c r="M37" s="6"/>
      <c r="N37" s="6"/>
      <c r="O37" s="6"/>
      <c r="P37" s="6"/>
    </row>
    <row r="38" spans="1:16" x14ac:dyDescent="0.35">
      <c r="A38" s="42">
        <f t="shared" ref="A38:A60" si="4">+A37+0.007</f>
        <v>1.4E-2</v>
      </c>
      <c r="B38" s="31">
        <f t="shared" si="3"/>
        <v>697.47382695513352</v>
      </c>
      <c r="C38" s="31">
        <f t="shared" si="2"/>
        <v>935.55032446020004</v>
      </c>
      <c r="D38" s="6"/>
      <c r="E38" s="6"/>
      <c r="F38" s="6"/>
      <c r="G38" s="6"/>
      <c r="H38" s="6"/>
      <c r="I38" s="6"/>
      <c r="J38" s="6"/>
      <c r="K38" s="6"/>
      <c r="L38" s="6"/>
      <c r="M38" s="6"/>
      <c r="N38" s="6"/>
      <c r="O38" s="6"/>
      <c r="P38" s="6"/>
    </row>
    <row r="39" spans="1:16" x14ac:dyDescent="0.35">
      <c r="A39" s="42">
        <f t="shared" si="4"/>
        <v>2.1000000000000001E-2</v>
      </c>
      <c r="B39" s="31">
        <f t="shared" si="3"/>
        <v>648.00656817098161</v>
      </c>
      <c r="C39" s="31">
        <f t="shared" si="2"/>
        <v>856.90112443312773</v>
      </c>
      <c r="D39" s="6"/>
      <c r="E39" s="6"/>
      <c r="F39" s="6"/>
      <c r="G39" s="6"/>
      <c r="H39" s="6"/>
      <c r="I39" s="6"/>
      <c r="J39" s="6"/>
      <c r="K39" s="6"/>
      <c r="L39" s="6"/>
      <c r="M39" s="6"/>
      <c r="N39" s="6"/>
      <c r="O39" s="6"/>
      <c r="P39" s="6"/>
    </row>
    <row r="40" spans="1:16" x14ac:dyDescent="0.35">
      <c r="A40" s="42">
        <f t="shared" si="4"/>
        <v>2.8000000000000001E-2</v>
      </c>
      <c r="B40" s="31">
        <f t="shared" si="3"/>
        <v>599.68571280169954</v>
      </c>
      <c r="C40" s="31">
        <f t="shared" si="2"/>
        <v>780.51918615183786</v>
      </c>
      <c r="D40" s="6"/>
      <c r="E40" s="6"/>
      <c r="F40" s="6"/>
      <c r="G40" s="6"/>
      <c r="H40" s="6"/>
      <c r="I40" s="6"/>
      <c r="J40" s="6"/>
      <c r="K40" s="6"/>
      <c r="L40" s="6"/>
      <c r="M40" s="6"/>
      <c r="N40" s="6"/>
      <c r="O40" s="6"/>
      <c r="P40" s="6"/>
    </row>
    <row r="41" spans="1:16" x14ac:dyDescent="0.35">
      <c r="A41" s="42">
        <f t="shared" si="4"/>
        <v>3.5000000000000003E-2</v>
      </c>
      <c r="B41" s="31">
        <f t="shared" si="3"/>
        <v>552.4750356025138</v>
      </c>
      <c r="C41" s="31">
        <f t="shared" si="2"/>
        <v>706.32191919774141</v>
      </c>
      <c r="D41" s="6"/>
      <c r="E41" s="6"/>
      <c r="F41" s="6"/>
      <c r="G41" s="6"/>
      <c r="H41" s="6"/>
      <c r="I41" s="6"/>
      <c r="J41" s="6"/>
      <c r="K41" s="6"/>
      <c r="L41" s="6"/>
      <c r="M41" s="6"/>
      <c r="N41" s="6"/>
      <c r="O41" s="6"/>
      <c r="P41" s="6"/>
    </row>
    <row r="42" spans="1:16" x14ac:dyDescent="0.35">
      <c r="A42" s="42">
        <f t="shared" si="4"/>
        <v>4.2000000000000003E-2</v>
      </c>
      <c r="B42" s="31">
        <f t="shared" si="3"/>
        <v>506.33973526150567</v>
      </c>
      <c r="C42" s="31">
        <f t="shared" si="2"/>
        <v>634.2303265225928</v>
      </c>
      <c r="D42" s="6"/>
      <c r="E42" s="6"/>
      <c r="F42" s="6"/>
      <c r="G42" s="6"/>
      <c r="H42" s="6"/>
      <c r="I42" s="6"/>
      <c r="J42" s="6"/>
      <c r="K42" s="6"/>
      <c r="L42" s="6"/>
      <c r="M42" s="6"/>
      <c r="N42" s="6"/>
      <c r="O42" s="6"/>
      <c r="P42" s="6"/>
    </row>
    <row r="43" spans="1:16" x14ac:dyDescent="0.35">
      <c r="A43" s="42">
        <f t="shared" si="4"/>
        <v>4.9000000000000002E-2</v>
      </c>
      <c r="B43" s="31">
        <f>$B$8+NPV($A43,$C$6,$D$6,$E$6,$F$6)</f>
        <v>461.24636808446257</v>
      </c>
      <c r="C43" s="31">
        <f>$B$22+NPV($A43,$C$22,$D$22,$E$22,$F$22)</f>
        <v>564.1688237535318</v>
      </c>
      <c r="D43" s="6"/>
      <c r="E43" s="6"/>
      <c r="F43" s="6"/>
      <c r="G43" s="6"/>
      <c r="H43" s="6"/>
      <c r="I43" s="6"/>
      <c r="J43" s="6"/>
      <c r="K43" s="6"/>
      <c r="L43" s="6"/>
      <c r="M43" s="6"/>
      <c r="N43" s="6"/>
      <c r="O43" s="6"/>
      <c r="P43" s="6"/>
    </row>
    <row r="44" spans="1:16" x14ac:dyDescent="0.35">
      <c r="A44" s="42">
        <f t="shared" si="4"/>
        <v>5.6000000000000001E-2</v>
      </c>
      <c r="B44" s="31">
        <f t="shared" si="3"/>
        <v>417.1627852292645</v>
      </c>
      <c r="C44" s="31">
        <f t="shared" si="2"/>
        <v>496.0650687709167</v>
      </c>
      <c r="D44" s="6"/>
      <c r="E44" s="6"/>
      <c r="F44" s="6"/>
      <c r="G44" s="6"/>
      <c r="H44" s="6"/>
      <c r="I44" s="6"/>
      <c r="J44" s="6"/>
      <c r="K44" s="6"/>
      <c r="L44" s="6"/>
      <c r="M44" s="6"/>
      <c r="N44" s="6"/>
      <c r="O44" s="6"/>
      <c r="P44" s="6"/>
    </row>
    <row r="45" spans="1:16" x14ac:dyDescent="0.35">
      <c r="A45" s="42">
        <f t="shared" si="4"/>
        <v>6.3E-2</v>
      </c>
      <c r="B45" s="31">
        <f t="shared" si="3"/>
        <v>374.05807327601633</v>
      </c>
      <c r="C45" s="31">
        <f t="shared" si="2"/>
        <v>429.84980090920772</v>
      </c>
      <c r="D45" s="6"/>
      <c r="E45" s="6"/>
      <c r="F45" s="6"/>
      <c r="G45" s="6"/>
      <c r="H45" s="6"/>
      <c r="I45" s="6"/>
      <c r="J45" s="6"/>
      <c r="K45" s="6"/>
      <c r="L45" s="6"/>
      <c r="M45" s="6"/>
      <c r="N45" s="6"/>
      <c r="O45" s="6"/>
      <c r="P45" s="6"/>
    </row>
    <row r="46" spans="1:16" x14ac:dyDescent="0.35">
      <c r="A46" s="42">
        <f t="shared" si="4"/>
        <v>7.0000000000000007E-2</v>
      </c>
      <c r="B46" s="31">
        <f t="shared" si="3"/>
        <v>331.90249793329713</v>
      </c>
      <c r="C46" s="31">
        <f t="shared" si="2"/>
        <v>365.45668917622015</v>
      </c>
      <c r="D46" s="6"/>
      <c r="E46" s="6"/>
      <c r="F46" s="6"/>
      <c r="G46" s="6"/>
      <c r="H46" s="6"/>
      <c r="I46" s="6"/>
      <c r="J46" s="6"/>
      <c r="K46" s="6"/>
      <c r="L46" s="6"/>
      <c r="M46" s="6"/>
      <c r="N46" s="6"/>
      <c r="O46" s="6"/>
      <c r="P46" s="6"/>
    </row>
    <row r="47" spans="1:16" x14ac:dyDescent="0.35">
      <c r="A47" s="42">
        <f t="shared" si="4"/>
        <v>7.7000000000000013E-2</v>
      </c>
      <c r="B47" s="31">
        <f t="shared" si="3"/>
        <v>290.66745069428089</v>
      </c>
      <c r="C47" s="31">
        <f t="shared" si="2"/>
        <v>302.82218892793844</v>
      </c>
      <c r="D47" s="6"/>
      <c r="E47" s="6"/>
      <c r="F47" s="6"/>
      <c r="G47" s="6"/>
      <c r="H47" s="6"/>
      <c r="I47" s="6"/>
      <c r="J47" s="6"/>
      <c r="K47" s="6"/>
      <c r="L47" s="6"/>
      <c r="M47" s="6"/>
      <c r="N47" s="6"/>
      <c r="O47" s="6"/>
      <c r="P47" s="6"/>
    </row>
    <row r="48" spans="1:16" x14ac:dyDescent="0.35">
      <c r="A48" s="42">
        <f t="shared" si="4"/>
        <v>8.4000000000000019E-2</v>
      </c>
      <c r="B48" s="31">
        <f t="shared" si="3"/>
        <v>250.32539826858647</v>
      </c>
      <c r="C48" s="31">
        <f t="shared" si="2"/>
        <v>241.88540647457103</v>
      </c>
      <c r="D48" s="6"/>
      <c r="E48" s="6"/>
      <c r="F48" s="6"/>
      <c r="G48" s="6"/>
      <c r="H48" s="6"/>
      <c r="I48" s="6"/>
      <c r="J48" s="6"/>
      <c r="K48" s="6"/>
      <c r="L48" s="6"/>
      <c r="M48" s="6"/>
      <c r="N48" s="6"/>
      <c r="O48" s="6"/>
      <c r="P48" s="6"/>
    </row>
    <row r="49" spans="1:16" x14ac:dyDescent="0.35">
      <c r="A49" s="42">
        <f t="shared" si="4"/>
        <v>9.1000000000000025E-2</v>
      </c>
      <c r="B49" s="31">
        <f t="shared" si="3"/>
        <v>210.84983462727496</v>
      </c>
      <c r="C49" s="31">
        <f t="shared" si="2"/>
        <v>182.58797112939737</v>
      </c>
      <c r="D49" s="6"/>
      <c r="E49" s="6"/>
      <c r="F49" s="6"/>
      <c r="G49" s="6"/>
      <c r="H49" s="6"/>
      <c r="I49" s="6"/>
      <c r="J49" s="6"/>
      <c r="K49" s="6"/>
      <c r="L49" s="6"/>
      <c r="M49" s="6"/>
      <c r="N49" s="6"/>
      <c r="O49" s="6"/>
      <c r="P49" s="6"/>
    </row>
    <row r="50" spans="1:16" x14ac:dyDescent="0.35">
      <c r="A50" s="42">
        <f t="shared" si="4"/>
        <v>9.8000000000000032E-2</v>
      </c>
      <c r="B50" s="31">
        <f t="shared" si="3"/>
        <v>172.21523550883057</v>
      </c>
      <c r="C50" s="31">
        <f t="shared" si="2"/>
        <v>124.87391424491034</v>
      </c>
      <c r="D50" s="6"/>
      <c r="E50" s="6"/>
      <c r="F50" s="6"/>
      <c r="G50" s="6"/>
      <c r="H50" s="6"/>
      <c r="I50" s="6"/>
      <c r="J50" s="6"/>
      <c r="K50" s="6"/>
      <c r="L50" s="6"/>
      <c r="M50" s="6"/>
      <c r="N50" s="6"/>
      <c r="O50" s="6"/>
      <c r="P50" s="6"/>
    </row>
    <row r="51" spans="1:16" x14ac:dyDescent="0.35">
      <c r="A51" s="42">
        <f t="shared" si="4"/>
        <v>0.10500000000000004</v>
      </c>
      <c r="B51" s="31">
        <f t="shared" si="3"/>
        <v>134.39701524389375</v>
      </c>
      <c r="C51" s="31">
        <f t="shared" si="2"/>
        <v>68.689554811510789</v>
      </c>
      <c r="D51" s="6"/>
      <c r="E51" s="6"/>
      <c r="F51" s="6"/>
      <c r="G51" s="6"/>
      <c r="H51" s="6"/>
      <c r="I51" s="6"/>
      <c r="J51" s="6"/>
      <c r="K51" s="6"/>
      <c r="L51" s="6"/>
      <c r="M51" s="6"/>
      <c r="N51" s="6"/>
      <c r="O51" s="6"/>
      <c r="P51" s="6"/>
    </row>
    <row r="52" spans="1:16" x14ac:dyDescent="0.35">
      <c r="A52" s="42">
        <f t="shared" si="4"/>
        <v>0.11200000000000004</v>
      </c>
      <c r="B52" s="31">
        <f t="shared" si="3"/>
        <v>97.371485765558646</v>
      </c>
      <c r="C52" s="31">
        <f t="shared" si="2"/>
        <v>13.983391222313003</v>
      </c>
      <c r="D52" s="6"/>
      <c r="E52" s="6"/>
      <c r="F52" s="6"/>
      <c r="G52" s="6"/>
      <c r="H52" s="6"/>
      <c r="I52" s="6"/>
      <c r="J52" s="6"/>
      <c r="K52" s="6"/>
      <c r="L52" s="6"/>
      <c r="M52" s="6"/>
      <c r="N52" s="6"/>
      <c r="O52" s="6"/>
      <c r="P52" s="6"/>
    </row>
    <row r="53" spans="1:16" x14ac:dyDescent="0.35">
      <c r="A53" s="42">
        <f t="shared" si="4"/>
        <v>0.11900000000000005</v>
      </c>
      <c r="B53" s="31">
        <f t="shared" ref="B53:B60" si="5">$B$8+NPV($A53,$C$6,$D$6,$E$6,$F$6)</f>
        <v>61.115817680601594</v>
      </c>
      <c r="C53" s="31">
        <f t="shared" si="2"/>
        <v>-39.294001165964801</v>
      </c>
      <c r="D53" s="6"/>
      <c r="E53" s="6"/>
      <c r="F53" s="6"/>
      <c r="G53" s="6"/>
      <c r="H53" s="6"/>
      <c r="I53" s="6"/>
      <c r="J53" s="6"/>
      <c r="K53" s="6"/>
      <c r="L53" s="6"/>
      <c r="M53" s="6"/>
      <c r="N53" s="6"/>
      <c r="O53" s="6"/>
      <c r="P53" s="6"/>
    </row>
    <row r="54" spans="1:16" x14ac:dyDescent="0.35">
      <c r="A54" s="42">
        <f t="shared" si="4"/>
        <v>0.12600000000000006</v>
      </c>
      <c r="B54" s="31">
        <f t="shared" si="5"/>
        <v>25.608003284809001</v>
      </c>
      <c r="C54" s="31">
        <f t="shared" si="2"/>
        <v>-91.190067021700543</v>
      </c>
      <c r="D54" s="6"/>
      <c r="E54" s="6"/>
      <c r="F54" s="6"/>
      <c r="G54" s="6"/>
      <c r="H54" s="6"/>
      <c r="I54" s="6"/>
      <c r="J54" s="6"/>
      <c r="K54" s="6"/>
      <c r="L54" s="6"/>
      <c r="M54" s="6"/>
      <c r="N54" s="6"/>
      <c r="O54" s="6"/>
      <c r="P54" s="6"/>
    </row>
    <row r="55" spans="1:16" x14ac:dyDescent="0.35">
      <c r="A55" s="42">
        <f t="shared" si="4"/>
        <v>0.13300000000000006</v>
      </c>
      <c r="B55" s="31">
        <f t="shared" si="5"/>
        <v>-9.173178586978338</v>
      </c>
      <c r="C55" s="31">
        <f t="shared" si="2"/>
        <v>-141.75036289959371</v>
      </c>
      <c r="D55" s="6"/>
      <c r="E55" s="6"/>
      <c r="F55" s="6"/>
      <c r="G55" s="6"/>
      <c r="H55" s="6"/>
      <c r="I55" s="6"/>
      <c r="J55" s="6"/>
      <c r="K55" s="6"/>
      <c r="L55" s="6"/>
      <c r="M55" s="6"/>
      <c r="N55" s="6"/>
      <c r="O55" s="6"/>
      <c r="P55" s="6"/>
    </row>
    <row r="56" spans="1:16" x14ac:dyDescent="0.35">
      <c r="A56" s="42">
        <f t="shared" si="4"/>
        <v>0.14000000000000007</v>
      </c>
      <c r="B56" s="31">
        <f t="shared" si="5"/>
        <v>-43.248195978761487</v>
      </c>
      <c r="C56" s="31">
        <f t="shared" si="2"/>
        <v>-191.0186442763702</v>
      </c>
      <c r="D56" s="6"/>
      <c r="E56" s="6"/>
      <c r="F56" s="6"/>
      <c r="G56" s="6"/>
      <c r="H56" s="6"/>
      <c r="I56" s="6"/>
      <c r="J56" s="6"/>
      <c r="K56" s="6"/>
      <c r="L56" s="6"/>
      <c r="M56" s="6"/>
      <c r="N56" s="6"/>
      <c r="O56" s="6"/>
      <c r="P56" s="6"/>
    </row>
    <row r="57" spans="1:16" x14ac:dyDescent="0.35">
      <c r="A57" s="42">
        <f t="shared" si="4"/>
        <v>0.14700000000000008</v>
      </c>
      <c r="B57" s="31">
        <f t="shared" si="5"/>
        <v>-76.636795595406966</v>
      </c>
      <c r="C57" s="31">
        <f t="shared" si="2"/>
        <v>-239.03694804329371</v>
      </c>
      <c r="D57" s="6"/>
      <c r="E57" s="6"/>
      <c r="F57" s="6"/>
      <c r="G57" s="6"/>
      <c r="H57" s="6"/>
      <c r="I57" s="6"/>
      <c r="J57" s="6"/>
      <c r="K57" s="6"/>
      <c r="L57" s="6"/>
      <c r="M57" s="6"/>
      <c r="N57" s="6"/>
      <c r="O57" s="6"/>
      <c r="P57" s="6"/>
    </row>
    <row r="58" spans="1:16" x14ac:dyDescent="0.35">
      <c r="A58" s="42">
        <f t="shared" si="4"/>
        <v>0.15400000000000008</v>
      </c>
      <c r="B58" s="31">
        <f t="shared" si="5"/>
        <v>-109.35803303913372</v>
      </c>
      <c r="C58" s="31">
        <f t="shared" si="2"/>
        <v>-285.84567071970832</v>
      </c>
      <c r="D58" s="6"/>
      <c r="E58" s="6"/>
      <c r="F58" s="6"/>
      <c r="G58" s="6"/>
      <c r="H58" s="6"/>
      <c r="I58" s="6"/>
      <c r="J58" s="6"/>
      <c r="K58" s="6"/>
      <c r="L58" s="6"/>
      <c r="M58" s="6"/>
      <c r="N58" s="6"/>
      <c r="O58" s="6"/>
      <c r="P58" s="6"/>
    </row>
    <row r="59" spans="1:16" x14ac:dyDescent="0.35">
      <c r="A59" s="42">
        <f t="shared" si="4"/>
        <v>0.16100000000000009</v>
      </c>
      <c r="B59" s="31">
        <f t="shared" si="5"/>
        <v>-141.43030158520742</v>
      </c>
      <c r="C59" s="31">
        <f t="shared" si="2"/>
        <v>-331.48364263484882</v>
      </c>
      <c r="D59" s="6"/>
      <c r="E59" s="6"/>
      <c r="F59" s="6"/>
      <c r="G59" s="6"/>
      <c r="H59" s="6"/>
      <c r="I59" s="6"/>
      <c r="J59" s="6"/>
      <c r="K59" s="6"/>
      <c r="L59" s="6"/>
      <c r="M59" s="6"/>
      <c r="N59" s="6"/>
      <c r="O59" s="6"/>
      <c r="P59" s="6"/>
    </row>
    <row r="60" spans="1:16" x14ac:dyDescent="0.35">
      <c r="A60" s="42">
        <f t="shared" si="4"/>
        <v>0.16800000000000009</v>
      </c>
      <c r="B60" s="31">
        <f t="shared" si="5"/>
        <v>-172.87135957646205</v>
      </c>
      <c r="C60" s="31">
        <f t="shared" si="2"/>
        <v>-375.98819830953744</v>
      </c>
      <c r="D60" s="6"/>
      <c r="E60" s="6"/>
      <c r="F60" s="6"/>
      <c r="G60" s="6"/>
      <c r="H60" s="6"/>
      <c r="I60" s="6"/>
      <c r="J60" s="6"/>
      <c r="K60" s="6"/>
      <c r="L60" s="6"/>
      <c r="M60" s="6"/>
      <c r="N60" s="6"/>
      <c r="O60" s="6"/>
      <c r="P60" s="6"/>
    </row>
    <row r="61" spans="1:16" x14ac:dyDescent="0.35">
      <c r="A61" s="6"/>
      <c r="B61" s="6"/>
      <c r="C61" s="6"/>
      <c r="D61" s="6"/>
      <c r="E61" s="6"/>
      <c r="F61" s="6"/>
      <c r="G61" s="6"/>
      <c r="H61" s="6"/>
      <c r="I61" s="6"/>
      <c r="J61" s="6"/>
      <c r="K61" s="6"/>
      <c r="L61" s="6"/>
      <c r="M61" s="6"/>
      <c r="N61" s="6"/>
      <c r="O61" s="6"/>
      <c r="P61" s="6"/>
    </row>
    <row r="62" spans="1:16" x14ac:dyDescent="0.35">
      <c r="A62" s="6"/>
      <c r="B62" s="6"/>
      <c r="C62" s="6"/>
      <c r="D62" s="6"/>
      <c r="E62" s="6"/>
      <c r="F62" s="6"/>
      <c r="G62" s="6"/>
      <c r="H62" s="6"/>
      <c r="I62" s="6"/>
      <c r="J62" s="6"/>
      <c r="K62" s="6"/>
      <c r="L62" s="6"/>
    </row>
    <row r="66" spans="1:7" x14ac:dyDescent="0.35">
      <c r="A66" s="2" t="s">
        <v>92</v>
      </c>
      <c r="B66" s="2"/>
      <c r="C66" s="2"/>
      <c r="D66" s="2"/>
      <c r="E66" s="2"/>
      <c r="F66" s="2"/>
      <c r="G66" s="2"/>
    </row>
    <row r="67" spans="1:7" x14ac:dyDescent="0.35">
      <c r="A67" s="2"/>
      <c r="B67" s="2"/>
      <c r="C67" s="2"/>
      <c r="D67" s="2"/>
      <c r="E67" s="2"/>
      <c r="F67" s="2"/>
      <c r="G67" s="2"/>
    </row>
    <row r="68" spans="1:7" x14ac:dyDescent="0.35">
      <c r="A68" s="50"/>
      <c r="B68" s="50">
        <v>0</v>
      </c>
      <c r="C68" s="50">
        <v>1</v>
      </c>
      <c r="D68" s="50">
        <v>2</v>
      </c>
      <c r="E68" s="50">
        <v>3</v>
      </c>
      <c r="F68" s="50" t="s">
        <v>96</v>
      </c>
      <c r="G68" s="50" t="s">
        <v>97</v>
      </c>
    </row>
    <row r="69" spans="1:7" x14ac:dyDescent="0.35">
      <c r="A69" s="50" t="s">
        <v>93</v>
      </c>
      <c r="B69" s="50">
        <v>15</v>
      </c>
      <c r="C69" s="50">
        <v>5</v>
      </c>
      <c r="D69" s="50">
        <v>5</v>
      </c>
      <c r="E69" s="50">
        <v>5</v>
      </c>
      <c r="F69" s="51">
        <f>NPV($B$72,C69:E69)+B69</f>
        <v>28.36505974730818</v>
      </c>
      <c r="G69" s="51">
        <f>PMT($B$72,3,-F69,0,0)</f>
        <v>10.611647191858276</v>
      </c>
    </row>
    <row r="70" spans="1:7" x14ac:dyDescent="0.35">
      <c r="A70" s="50" t="s">
        <v>94</v>
      </c>
      <c r="B70" s="50">
        <v>10</v>
      </c>
      <c r="C70" s="50">
        <v>6</v>
      </c>
      <c r="D70" s="50">
        <v>6</v>
      </c>
      <c r="E70" s="50"/>
      <c r="F70" s="51">
        <f>NPV($B$72,C70:D70)+B70</f>
        <v>21.000355998576005</v>
      </c>
      <c r="G70" s="51">
        <f>PMT($B$72,2,-F70,0,0)</f>
        <v>11.454368932038836</v>
      </c>
    </row>
    <row r="71" spans="1:7" x14ac:dyDescent="0.35">
      <c r="A71" s="2"/>
      <c r="B71" s="2"/>
      <c r="C71" s="2"/>
      <c r="D71" s="2"/>
      <c r="E71" s="2"/>
      <c r="F71" s="2"/>
      <c r="G71" s="2"/>
    </row>
    <row r="72" spans="1:7" x14ac:dyDescent="0.35">
      <c r="A72" s="2" t="s">
        <v>95</v>
      </c>
      <c r="B72" s="49">
        <v>0.06</v>
      </c>
      <c r="C72" s="2"/>
      <c r="D72" s="2"/>
      <c r="E72" s="2"/>
      <c r="F72" s="2"/>
      <c r="G72" s="2"/>
    </row>
    <row r="73" spans="1:7" x14ac:dyDescent="0.35">
      <c r="A73" s="2"/>
      <c r="B73" s="2"/>
      <c r="C73" s="2"/>
      <c r="D73" s="2"/>
      <c r="E73" s="2"/>
      <c r="F73" s="2"/>
      <c r="G73" s="2"/>
    </row>
  </sheetData>
  <pageMargins left="0.7" right="0.7" top="0.75" bottom="0.75" header="0.3" footer="0.3"/>
  <pageSetup paperSize="9"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8"/>
  <sheetViews>
    <sheetView workbookViewId="0">
      <selection activeCell="B8" sqref="B8"/>
    </sheetView>
  </sheetViews>
  <sheetFormatPr defaultRowHeight="14.5" x14ac:dyDescent="0.35"/>
  <sheetData>
    <row r="2" spans="1:6" x14ac:dyDescent="0.35">
      <c r="B2" s="100">
        <v>0.1</v>
      </c>
    </row>
    <row r="3" spans="1:6" x14ac:dyDescent="0.35">
      <c r="A3" s="6"/>
      <c r="B3" s="128">
        <v>0</v>
      </c>
      <c r="C3" s="128">
        <v>1</v>
      </c>
      <c r="D3" s="128">
        <v>2</v>
      </c>
      <c r="E3" s="128">
        <v>3</v>
      </c>
      <c r="F3" s="128">
        <v>4</v>
      </c>
    </row>
    <row r="4" spans="1:6" x14ac:dyDescent="0.35">
      <c r="A4" s="6"/>
      <c r="B4" s="31">
        <v>-3000</v>
      </c>
      <c r="C4" s="134">
        <v>1500</v>
      </c>
      <c r="D4" s="31">
        <v>1200</v>
      </c>
      <c r="E4" s="31">
        <v>800</v>
      </c>
      <c r="F4" s="31">
        <v>300</v>
      </c>
    </row>
    <row r="5" spans="1:6" x14ac:dyDescent="0.35">
      <c r="A5" t="s">
        <v>29</v>
      </c>
      <c r="B5">
        <f>B4/(1+$B$2)^B3</f>
        <v>-3000</v>
      </c>
      <c r="C5">
        <f>C4/(1+$B$2)^C3</f>
        <v>1363.6363636363635</v>
      </c>
      <c r="D5">
        <f>D4/(1+$B$2)^D3</f>
        <v>991.73553719008248</v>
      </c>
      <c r="E5">
        <f>E4/(1+$B$2)^E3</f>
        <v>601.05184072126201</v>
      </c>
      <c r="F5">
        <f>F4/(1+$B$2)^F3</f>
        <v>204.90403660952114</v>
      </c>
    </row>
    <row r="7" spans="1:6" x14ac:dyDescent="0.35">
      <c r="A7" t="s">
        <v>24</v>
      </c>
      <c r="B7" s="129">
        <f>B4+NPV(B2,C4:F4)</f>
        <v>161.3277781572292</v>
      </c>
    </row>
    <row r="8" spans="1:6" x14ac:dyDescent="0.35">
      <c r="A8" t="s">
        <v>62</v>
      </c>
      <c r="B8" s="62">
        <f>IRR(B4:F4)</f>
        <v>0.13113978948134974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16"/>
  <sheetViews>
    <sheetView zoomScale="145" zoomScaleNormal="145" workbookViewId="0">
      <selection activeCell="C24" sqref="C24"/>
    </sheetView>
  </sheetViews>
  <sheetFormatPr defaultRowHeight="14.5" x14ac:dyDescent="0.35"/>
  <cols>
    <col min="2" max="2" width="11.81640625" customWidth="1"/>
    <col min="3" max="3" width="9.36328125" bestFit="1" customWidth="1"/>
    <col min="4" max="4" width="13" customWidth="1"/>
    <col min="5" max="6" width="9" bestFit="1" customWidth="1"/>
  </cols>
  <sheetData>
    <row r="2" spans="1:9" x14ac:dyDescent="0.35">
      <c r="B2">
        <v>0</v>
      </c>
      <c r="C2">
        <v>1</v>
      </c>
      <c r="D2">
        <v>2</v>
      </c>
      <c r="E2">
        <v>3</v>
      </c>
      <c r="F2">
        <v>4</v>
      </c>
    </row>
    <row r="3" spans="1:9" x14ac:dyDescent="0.35">
      <c r="B3">
        <v>-3000</v>
      </c>
      <c r="C3">
        <v>1500</v>
      </c>
      <c r="D3">
        <v>1200</v>
      </c>
      <c r="E3">
        <v>800</v>
      </c>
      <c r="F3">
        <v>300</v>
      </c>
    </row>
    <row r="4" spans="1:9" x14ac:dyDescent="0.35">
      <c r="A4" t="s">
        <v>29</v>
      </c>
      <c r="B4" s="130">
        <f>B3/(1+$I$4)^B2</f>
        <v>-3000</v>
      </c>
      <c r="C4" s="130">
        <f t="shared" ref="C4:F4" si="0">C3/(1+$I$4)^C2</f>
        <v>1363.6363636363635</v>
      </c>
      <c r="D4" s="130">
        <f t="shared" si="0"/>
        <v>991.73553719008248</v>
      </c>
      <c r="E4" s="130">
        <f t="shared" si="0"/>
        <v>601.05184072126201</v>
      </c>
      <c r="F4" s="130">
        <f t="shared" si="0"/>
        <v>204.90403660952114</v>
      </c>
      <c r="H4" t="s">
        <v>232</v>
      </c>
      <c r="I4" s="100">
        <v>0.1</v>
      </c>
    </row>
    <row r="5" spans="1:9" x14ac:dyDescent="0.35">
      <c r="B5" t="s">
        <v>24</v>
      </c>
      <c r="C5" s="131">
        <f>SUM(B4:F4)</f>
        <v>161.32777815722915</v>
      </c>
    </row>
    <row r="6" spans="1:9" x14ac:dyDescent="0.35">
      <c r="B6" t="s">
        <v>24</v>
      </c>
      <c r="C6" s="129">
        <f>NPV(I4,B3:F3)</f>
        <v>146.6616165065719</v>
      </c>
      <c r="D6" s="132">
        <f>B3+NPV(I4,C3:F3)</f>
        <v>161.3277781572292</v>
      </c>
    </row>
    <row r="7" spans="1:9" x14ac:dyDescent="0.35">
      <c r="B7" t="s">
        <v>62</v>
      </c>
      <c r="C7" s="133">
        <f>IRR(B3:F3)</f>
        <v>0.13113978948134974</v>
      </c>
    </row>
    <row r="10" spans="1:9" x14ac:dyDescent="0.35">
      <c r="B10" t="s">
        <v>243</v>
      </c>
      <c r="C10" s="100">
        <v>0.1</v>
      </c>
    </row>
    <row r="12" spans="1:9" x14ac:dyDescent="0.35">
      <c r="B12">
        <v>0</v>
      </c>
      <c r="C12">
        <v>1</v>
      </c>
      <c r="D12">
        <v>2</v>
      </c>
      <c r="E12">
        <v>3</v>
      </c>
      <c r="F12">
        <v>4</v>
      </c>
    </row>
    <row r="13" spans="1:9" x14ac:dyDescent="0.35">
      <c r="A13" t="s">
        <v>244</v>
      </c>
      <c r="B13">
        <v>-3000</v>
      </c>
      <c r="C13">
        <v>1500</v>
      </c>
      <c r="D13">
        <v>1200</v>
      </c>
      <c r="E13">
        <v>800</v>
      </c>
      <c r="F13">
        <v>300</v>
      </c>
    </row>
    <row r="14" spans="1:9" x14ac:dyDescent="0.35">
      <c r="A14" t="s">
        <v>245</v>
      </c>
      <c r="B14">
        <f>B13/(1+$C$10)^B12</f>
        <v>-3000</v>
      </c>
      <c r="C14">
        <f t="shared" ref="C14:F14" si="1">C13/(1+$C$10)^C12</f>
        <v>1363.6363636363635</v>
      </c>
      <c r="D14">
        <f t="shared" si="1"/>
        <v>991.73553719008248</v>
      </c>
      <c r="E14">
        <f t="shared" si="1"/>
        <v>601.05184072126201</v>
      </c>
      <c r="F14">
        <f t="shared" si="1"/>
        <v>204.90403660952114</v>
      </c>
    </row>
    <row r="15" spans="1:9" x14ac:dyDescent="0.35">
      <c r="A15" t="s">
        <v>24</v>
      </c>
      <c r="B15" s="130">
        <f>SUM(B14:F14)</f>
        <v>161.32777815722915</v>
      </c>
    </row>
    <row r="16" spans="1:9" x14ac:dyDescent="0.35">
      <c r="A16" t="s">
        <v>24</v>
      </c>
      <c r="B16" s="130">
        <f>B13+NPV(C10,C13:F13)</f>
        <v>161.3277781572292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7"/>
  <sheetViews>
    <sheetView topLeftCell="A43" workbookViewId="0">
      <selection activeCell="B51" sqref="B51"/>
    </sheetView>
  </sheetViews>
  <sheetFormatPr defaultRowHeight="14.5" outlineLevelRow="1" x14ac:dyDescent="0.35"/>
  <cols>
    <col min="1" max="1" width="25.90625" customWidth="1"/>
    <col min="2" max="2" width="12.36328125" bestFit="1" customWidth="1"/>
    <col min="3" max="3" width="10.54296875" customWidth="1"/>
    <col min="4" max="4" width="11.54296875" customWidth="1"/>
    <col min="5" max="5" width="13" customWidth="1"/>
    <col min="6" max="11" width="10.90625" customWidth="1"/>
    <col min="12" max="12" width="12.81640625" customWidth="1"/>
    <col min="13" max="13" width="10.90625" customWidth="1"/>
  </cols>
  <sheetData>
    <row r="1" spans="1:12" x14ac:dyDescent="0.35">
      <c r="A1" s="6"/>
      <c r="B1" s="6"/>
      <c r="C1" s="6"/>
      <c r="D1" s="6"/>
      <c r="E1" s="6"/>
      <c r="F1" s="6"/>
      <c r="G1" s="6"/>
      <c r="H1" s="6"/>
      <c r="I1" s="6"/>
      <c r="J1" s="6"/>
      <c r="K1" s="6"/>
      <c r="L1" s="6"/>
    </row>
    <row r="2" spans="1:12" x14ac:dyDescent="0.35">
      <c r="A2" s="17" t="s">
        <v>41</v>
      </c>
      <c r="B2" s="17"/>
      <c r="C2" s="17"/>
      <c r="D2" s="6"/>
      <c r="E2" s="6"/>
      <c r="F2" s="6"/>
      <c r="G2" s="6"/>
      <c r="H2" s="6"/>
      <c r="I2" s="6"/>
      <c r="J2" s="6"/>
      <c r="K2" s="6"/>
      <c r="L2" s="6"/>
    </row>
    <row r="3" spans="1:12" x14ac:dyDescent="0.35">
      <c r="A3" s="17" t="s">
        <v>32</v>
      </c>
      <c r="B3" s="45">
        <f>B8/F3</f>
        <v>20000</v>
      </c>
      <c r="C3" s="17"/>
      <c r="D3" s="6"/>
      <c r="E3" s="6" t="s">
        <v>103</v>
      </c>
      <c r="F3" s="14">
        <v>0.1</v>
      </c>
      <c r="G3" s="6"/>
      <c r="H3" s="6"/>
      <c r="I3" s="6"/>
      <c r="J3" s="6"/>
      <c r="K3" s="6"/>
      <c r="L3" s="6"/>
    </row>
    <row r="4" spans="1:12" x14ac:dyDescent="0.35">
      <c r="A4" s="17" t="s">
        <v>98</v>
      </c>
      <c r="B4" s="45">
        <v>5000</v>
      </c>
      <c r="C4" s="17"/>
      <c r="D4" s="6"/>
      <c r="E4" s="6"/>
      <c r="F4" s="6"/>
      <c r="G4" s="6"/>
      <c r="H4" s="6"/>
      <c r="I4" s="6"/>
      <c r="J4" s="6"/>
      <c r="K4" s="6"/>
      <c r="L4" s="6"/>
    </row>
    <row r="5" spans="1:12" x14ac:dyDescent="0.35">
      <c r="A5" s="17" t="s">
        <v>52</v>
      </c>
      <c r="B5" s="45">
        <f>L24/F5</f>
        <v>35948.789776588361</v>
      </c>
      <c r="C5" s="17"/>
      <c r="D5" s="6"/>
      <c r="E5" s="6" t="s">
        <v>104</v>
      </c>
      <c r="F5" s="14">
        <v>7.0000000000000007E-2</v>
      </c>
      <c r="G5" s="6"/>
      <c r="H5" s="6"/>
      <c r="I5" s="6"/>
      <c r="J5" s="6"/>
      <c r="K5" s="6"/>
      <c r="L5" s="6"/>
    </row>
    <row r="6" spans="1:12" x14ac:dyDescent="0.35">
      <c r="A6" s="17"/>
      <c r="B6" s="17"/>
      <c r="C6" s="17"/>
      <c r="D6" s="6"/>
      <c r="E6" s="6"/>
      <c r="F6" s="6"/>
      <c r="G6" s="6"/>
      <c r="H6" s="6"/>
      <c r="I6" s="6"/>
      <c r="J6" s="6"/>
      <c r="K6" s="6"/>
      <c r="L6" s="6"/>
    </row>
    <row r="7" spans="1:12" x14ac:dyDescent="0.35">
      <c r="A7" s="17" t="s">
        <v>34</v>
      </c>
      <c r="B7" s="17">
        <v>0</v>
      </c>
      <c r="C7" s="17"/>
      <c r="D7" s="6"/>
      <c r="E7" s="6"/>
      <c r="F7" s="6"/>
      <c r="G7" s="6"/>
      <c r="H7" s="6"/>
      <c r="I7" s="6"/>
      <c r="J7" s="6"/>
      <c r="K7" s="6"/>
      <c r="L7" s="6"/>
    </row>
    <row r="8" spans="1:12" x14ac:dyDescent="0.35">
      <c r="A8" s="17" t="s">
        <v>106</v>
      </c>
      <c r="B8" s="17">
        <v>2000</v>
      </c>
      <c r="C8" s="17"/>
      <c r="D8" s="6"/>
      <c r="E8" s="17" t="s">
        <v>85</v>
      </c>
      <c r="F8" s="18">
        <v>0.03</v>
      </c>
      <c r="G8" s="6"/>
      <c r="H8" s="6"/>
      <c r="I8" s="6"/>
      <c r="J8" s="6"/>
      <c r="K8" s="6"/>
      <c r="L8" s="6"/>
    </row>
    <row r="9" spans="1:12" x14ac:dyDescent="0.35">
      <c r="A9" s="53" t="s">
        <v>115</v>
      </c>
      <c r="B9" s="20">
        <f>F8+1%</f>
        <v>0.04</v>
      </c>
      <c r="C9" s="17"/>
      <c r="D9" s="6"/>
      <c r="E9" s="6"/>
      <c r="F9" s="6"/>
      <c r="G9" s="6"/>
      <c r="H9" s="6"/>
      <c r="I9" s="6"/>
      <c r="J9" s="6"/>
      <c r="K9" s="6"/>
      <c r="L9" s="6"/>
    </row>
    <row r="10" spans="1:12" x14ac:dyDescent="0.35">
      <c r="A10" s="17" t="s">
        <v>101</v>
      </c>
      <c r="B10" s="18">
        <v>0.85</v>
      </c>
      <c r="C10" s="17"/>
      <c r="D10" s="6"/>
      <c r="E10" s="6" t="s">
        <v>113</v>
      </c>
      <c r="F10" s="6"/>
      <c r="G10" s="6"/>
      <c r="H10" s="6"/>
      <c r="I10" s="6"/>
      <c r="J10" s="6"/>
      <c r="K10" s="6"/>
      <c r="L10" s="6"/>
    </row>
    <row r="11" spans="1:12" x14ac:dyDescent="0.35">
      <c r="A11" s="17" t="s">
        <v>107</v>
      </c>
      <c r="B11" s="18">
        <v>0.05</v>
      </c>
      <c r="C11" s="17" t="s">
        <v>99</v>
      </c>
      <c r="D11" s="6"/>
      <c r="E11" s="6" t="s">
        <v>114</v>
      </c>
      <c r="F11" s="6"/>
      <c r="G11" s="6"/>
      <c r="H11" s="6"/>
      <c r="I11" s="6"/>
      <c r="J11" s="6"/>
      <c r="K11" s="6"/>
      <c r="L11" s="6"/>
    </row>
    <row r="12" spans="1:12" x14ac:dyDescent="0.35">
      <c r="A12" s="17" t="s">
        <v>38</v>
      </c>
      <c r="B12" s="19">
        <v>50</v>
      </c>
      <c r="C12" s="17"/>
      <c r="D12" s="6"/>
      <c r="E12" s="6"/>
      <c r="F12" s="6"/>
      <c r="G12" s="6"/>
      <c r="H12" s="6"/>
      <c r="I12" s="6"/>
      <c r="J12" s="6"/>
      <c r="K12" s="6"/>
      <c r="L12" s="6"/>
    </row>
    <row r="13" spans="1:12" x14ac:dyDescent="0.35">
      <c r="A13" s="17" t="s">
        <v>47</v>
      </c>
      <c r="B13" s="18">
        <v>0.05</v>
      </c>
      <c r="C13" s="17"/>
      <c r="D13" s="6"/>
      <c r="E13" s="6"/>
      <c r="F13" s="6"/>
      <c r="G13" s="6"/>
      <c r="H13" s="6"/>
      <c r="I13" s="6"/>
      <c r="J13" s="6"/>
      <c r="K13" s="6"/>
      <c r="L13" s="6"/>
    </row>
    <row r="14" spans="1:12" x14ac:dyDescent="0.35">
      <c r="A14" s="17" t="s">
        <v>105</v>
      </c>
      <c r="B14" s="29">
        <v>2.5000000000000001E-2</v>
      </c>
      <c r="C14" s="17"/>
      <c r="D14" s="6"/>
      <c r="E14" s="6"/>
      <c r="F14" s="6"/>
      <c r="G14" s="6"/>
      <c r="H14" s="6"/>
      <c r="I14" s="6"/>
      <c r="J14" s="6"/>
      <c r="K14" s="6"/>
      <c r="L14" s="6"/>
    </row>
    <row r="15" spans="1:12" x14ac:dyDescent="0.35">
      <c r="A15" s="6"/>
      <c r="B15" s="13"/>
      <c r="C15" s="6"/>
      <c r="D15" s="6"/>
      <c r="E15" s="6"/>
      <c r="F15" s="6"/>
      <c r="G15" s="6"/>
      <c r="H15" s="6"/>
      <c r="I15" s="6"/>
      <c r="J15" s="6"/>
      <c r="K15" s="6"/>
      <c r="L15" s="6"/>
    </row>
    <row r="16" spans="1:12" x14ac:dyDescent="0.35">
      <c r="A16" s="5"/>
      <c r="B16" s="5">
        <v>0</v>
      </c>
      <c r="C16" s="5">
        <v>1</v>
      </c>
      <c r="D16" s="5">
        <v>2</v>
      </c>
      <c r="E16" s="5">
        <v>3</v>
      </c>
      <c r="F16" s="5">
        <v>4</v>
      </c>
      <c r="G16" s="5">
        <v>5</v>
      </c>
      <c r="H16" s="5">
        <v>6</v>
      </c>
      <c r="I16" s="5">
        <v>7</v>
      </c>
      <c r="J16" s="5">
        <v>8</v>
      </c>
      <c r="K16" s="5">
        <v>9</v>
      </c>
      <c r="L16" s="5">
        <v>10</v>
      </c>
    </row>
    <row r="17" spans="1:12" x14ac:dyDescent="0.35">
      <c r="A17" s="15" t="s">
        <v>31</v>
      </c>
      <c r="B17" s="6"/>
      <c r="C17" s="6"/>
      <c r="D17" s="6"/>
      <c r="E17" s="6"/>
      <c r="F17" s="6"/>
      <c r="G17" s="6"/>
      <c r="H17" s="6"/>
      <c r="I17" s="6"/>
      <c r="J17" s="6"/>
      <c r="K17" s="6"/>
      <c r="L17" s="6"/>
    </row>
    <row r="18" spans="1:12" x14ac:dyDescent="0.35">
      <c r="A18" s="6" t="s">
        <v>32</v>
      </c>
      <c r="B18" s="32">
        <f>-B3</f>
        <v>-20000</v>
      </c>
      <c r="C18" s="6"/>
      <c r="D18" s="6"/>
      <c r="E18" s="6"/>
      <c r="F18" s="6"/>
      <c r="G18" s="6"/>
      <c r="H18" s="6"/>
      <c r="I18" s="6"/>
      <c r="J18" s="6"/>
      <c r="K18" s="6"/>
      <c r="L18" s="6"/>
    </row>
    <row r="19" spans="1:12" x14ac:dyDescent="0.35">
      <c r="A19" s="6" t="s">
        <v>98</v>
      </c>
      <c r="B19" s="32">
        <f>-B4</f>
        <v>-5000</v>
      </c>
      <c r="C19" s="6"/>
      <c r="D19" s="6"/>
      <c r="E19" s="6"/>
      <c r="F19" s="6"/>
      <c r="G19" s="6"/>
      <c r="H19" s="6"/>
      <c r="I19" s="6"/>
      <c r="J19" s="6"/>
      <c r="K19" s="6"/>
      <c r="L19" s="6"/>
    </row>
    <row r="20" spans="1:12" x14ac:dyDescent="0.35">
      <c r="A20" s="16" t="s">
        <v>34</v>
      </c>
      <c r="B20" s="33">
        <f>-B7</f>
        <v>0</v>
      </c>
      <c r="C20" s="6"/>
      <c r="D20" s="6"/>
      <c r="E20" s="6"/>
      <c r="F20" s="6"/>
      <c r="G20" s="6"/>
      <c r="H20" s="6"/>
      <c r="I20" s="6"/>
      <c r="J20" s="6"/>
      <c r="K20" s="6"/>
      <c r="L20" s="6"/>
    </row>
    <row r="21" spans="1:12" x14ac:dyDescent="0.35">
      <c r="A21" s="7" t="s">
        <v>35</v>
      </c>
      <c r="B21" s="32">
        <f>SUM(B18:B20)</f>
        <v>-25000</v>
      </c>
      <c r="C21" s="6"/>
      <c r="D21" s="6"/>
      <c r="E21" s="6"/>
      <c r="F21" s="6"/>
      <c r="G21" s="6"/>
      <c r="H21" s="6"/>
      <c r="I21" s="6"/>
      <c r="J21" s="6"/>
      <c r="K21" s="6"/>
      <c r="L21" s="6"/>
    </row>
    <row r="22" spans="1:12" ht="11.5" customHeight="1" x14ac:dyDescent="0.35">
      <c r="A22" s="6"/>
      <c r="B22" s="6"/>
      <c r="C22" s="6"/>
      <c r="D22" s="6"/>
      <c r="E22" s="6"/>
      <c r="F22" s="6"/>
      <c r="G22" s="6"/>
      <c r="H22" s="6"/>
      <c r="I22" s="6"/>
      <c r="J22" s="6"/>
      <c r="K22" s="6"/>
      <c r="L22" s="6"/>
    </row>
    <row r="23" spans="1:12" x14ac:dyDescent="0.35">
      <c r="A23" s="15" t="s">
        <v>59</v>
      </c>
      <c r="B23" s="6"/>
      <c r="C23" s="6"/>
      <c r="D23" s="6"/>
      <c r="E23" s="6"/>
      <c r="F23" s="6"/>
      <c r="G23" s="6"/>
      <c r="H23" s="6"/>
      <c r="I23" s="6"/>
      <c r="J23" s="6"/>
      <c r="K23" s="6"/>
      <c r="L23" s="6"/>
    </row>
    <row r="24" spans="1:12" x14ac:dyDescent="0.35">
      <c r="A24" s="6" t="s">
        <v>102</v>
      </c>
      <c r="B24" s="6"/>
      <c r="C24" s="32">
        <f>B8*B10*(1+$B$9)</f>
        <v>1768</v>
      </c>
      <c r="D24" s="32">
        <f>C24*(1+$B$9)</f>
        <v>1838.72</v>
      </c>
      <c r="E24" s="32">
        <f t="shared" ref="E24:L24" si="0">D24*(1+$B$9)</f>
        <v>1912.2688000000001</v>
      </c>
      <c r="F24" s="32">
        <f t="shared" si="0"/>
        <v>1988.7595520000002</v>
      </c>
      <c r="G24" s="32">
        <f t="shared" si="0"/>
        <v>2068.3099340800004</v>
      </c>
      <c r="H24" s="32">
        <f t="shared" si="0"/>
        <v>2151.0423314432005</v>
      </c>
      <c r="I24" s="32">
        <f t="shared" si="0"/>
        <v>2237.0840247009287</v>
      </c>
      <c r="J24" s="32">
        <f t="shared" si="0"/>
        <v>2326.5673856889657</v>
      </c>
      <c r="K24" s="32">
        <f t="shared" si="0"/>
        <v>2419.6300811165243</v>
      </c>
      <c r="L24" s="32">
        <f t="shared" si="0"/>
        <v>2516.4152843611855</v>
      </c>
    </row>
    <row r="25" spans="1:12" x14ac:dyDescent="0.35">
      <c r="A25" s="8" t="s">
        <v>37</v>
      </c>
      <c r="B25" s="6"/>
      <c r="C25" s="32">
        <f>-C24*B11*(1+$F$8)</f>
        <v>-91.052000000000007</v>
      </c>
      <c r="D25" s="32">
        <f t="shared" ref="D25:L25" si="1">C25*(1+$F$8)</f>
        <v>-93.783560000000008</v>
      </c>
      <c r="E25" s="32">
        <f t="shared" si="1"/>
        <v>-96.597066800000007</v>
      </c>
      <c r="F25" s="32">
        <f t="shared" si="1"/>
        <v>-99.494978804000013</v>
      </c>
      <c r="G25" s="32">
        <f t="shared" si="1"/>
        <v>-102.47982816812002</v>
      </c>
      <c r="H25" s="32">
        <f t="shared" si="1"/>
        <v>-105.55422301316362</v>
      </c>
      <c r="I25" s="32">
        <f t="shared" si="1"/>
        <v>-108.72084970355853</v>
      </c>
      <c r="J25" s="32">
        <f t="shared" si="1"/>
        <v>-111.98247519466528</v>
      </c>
      <c r="K25" s="32">
        <f t="shared" si="1"/>
        <v>-115.34194945050524</v>
      </c>
      <c r="L25" s="32">
        <f t="shared" si="1"/>
        <v>-118.8022079340204</v>
      </c>
    </row>
    <row r="26" spans="1:12" x14ac:dyDescent="0.35">
      <c r="A26" s="16" t="s">
        <v>38</v>
      </c>
      <c r="B26" s="16"/>
      <c r="C26" s="33">
        <f>-B12*(1+$F$8)</f>
        <v>-51.5</v>
      </c>
      <c r="D26" s="33">
        <f t="shared" ref="D26:L26" si="2">C26*(1+$F$8)</f>
        <v>-53.045000000000002</v>
      </c>
      <c r="E26" s="33">
        <f t="shared" si="2"/>
        <v>-54.63635</v>
      </c>
      <c r="F26" s="33">
        <f t="shared" si="2"/>
        <v>-56.275440500000002</v>
      </c>
      <c r="G26" s="33">
        <f t="shared" si="2"/>
        <v>-57.963703715000001</v>
      </c>
      <c r="H26" s="33">
        <f t="shared" si="2"/>
        <v>-59.702614826450002</v>
      </c>
      <c r="I26" s="33">
        <f t="shared" si="2"/>
        <v>-61.493693271243501</v>
      </c>
      <c r="J26" s="33">
        <f t="shared" si="2"/>
        <v>-63.338504069380811</v>
      </c>
      <c r="K26" s="33">
        <f t="shared" si="2"/>
        <v>-65.238659191462233</v>
      </c>
      <c r="L26" s="33">
        <f t="shared" si="2"/>
        <v>-67.195818967206108</v>
      </c>
    </row>
    <row r="27" spans="1:12" x14ac:dyDescent="0.35">
      <c r="A27" s="7" t="s">
        <v>45</v>
      </c>
      <c r="B27" s="6"/>
      <c r="C27" s="34">
        <f>SUM(C24:C26)</f>
        <v>1625.4480000000001</v>
      </c>
      <c r="D27" s="34">
        <f>SUM(D24:D26)</f>
        <v>1691.8914399999999</v>
      </c>
      <c r="E27" s="34">
        <f>SUM(E24:E26)</f>
        <v>1761.0353832000001</v>
      </c>
      <c r="F27" s="34">
        <f>SUM(F24:F26)</f>
        <v>1832.9891326960001</v>
      </c>
      <c r="G27" s="34">
        <f t="shared" ref="G27:K27" si="3">SUM(G24:G26)</f>
        <v>1907.8664021968802</v>
      </c>
      <c r="H27" s="34">
        <f t="shared" si="3"/>
        <v>1985.7854936035869</v>
      </c>
      <c r="I27" s="34">
        <f t="shared" si="3"/>
        <v>2066.8694817261267</v>
      </c>
      <c r="J27" s="34">
        <f t="shared" si="3"/>
        <v>2151.2464064249198</v>
      </c>
      <c r="K27" s="34">
        <f t="shared" si="3"/>
        <v>2239.0494724745568</v>
      </c>
      <c r="L27" s="34">
        <f>SUM(L24:L26)</f>
        <v>2330.4172574599593</v>
      </c>
    </row>
    <row r="28" spans="1:12" x14ac:dyDescent="0.35">
      <c r="A28" s="16" t="s">
        <v>43</v>
      </c>
      <c r="B28" s="16"/>
      <c r="C28" s="33">
        <f>($B$18+$B$19)*C54</f>
        <v>-625</v>
      </c>
      <c r="D28" s="33">
        <f>($B$18+$B$19)*D54</f>
        <v>-625</v>
      </c>
      <c r="E28" s="33">
        <f>($B$18+$B$19)*E54</f>
        <v>-625</v>
      </c>
      <c r="F28" s="33">
        <f>($B$18+$B$19)*F54</f>
        <v>-625</v>
      </c>
      <c r="G28" s="33">
        <f t="shared" ref="G28:K28" si="4">($B$18+$B$19)*G54</f>
        <v>-625</v>
      </c>
      <c r="H28" s="33">
        <f t="shared" si="4"/>
        <v>-625</v>
      </c>
      <c r="I28" s="33">
        <f t="shared" si="4"/>
        <v>-625</v>
      </c>
      <c r="J28" s="33">
        <f t="shared" si="4"/>
        <v>-625</v>
      </c>
      <c r="K28" s="33">
        <f t="shared" si="4"/>
        <v>-625</v>
      </c>
      <c r="L28" s="33">
        <f>($B$18+$B$19)*L54</f>
        <v>-625</v>
      </c>
    </row>
    <row r="29" spans="1:12" x14ac:dyDescent="0.35">
      <c r="A29" s="7" t="s">
        <v>48</v>
      </c>
      <c r="B29" s="6"/>
      <c r="C29" s="34">
        <f>C27+C28</f>
        <v>1000.4480000000001</v>
      </c>
      <c r="D29" s="34">
        <f>D27+D28</f>
        <v>1066.8914399999999</v>
      </c>
      <c r="E29" s="34">
        <f t="shared" ref="E29:F29" si="5">E27+E28</f>
        <v>1136.0353832000001</v>
      </c>
      <c r="F29" s="34">
        <f t="shared" si="5"/>
        <v>1207.9891326960001</v>
      </c>
      <c r="G29" s="34">
        <f t="shared" ref="G29" si="6">G27+G28</f>
        <v>1282.8664021968802</v>
      </c>
      <c r="H29" s="34">
        <f t="shared" ref="H29" si="7">H27+H28</f>
        <v>1360.7854936035869</v>
      </c>
      <c r="I29" s="34">
        <f t="shared" ref="I29" si="8">I27+I28</f>
        <v>1441.8694817261267</v>
      </c>
      <c r="J29" s="34">
        <f t="shared" ref="J29" si="9">J27+J28</f>
        <v>1526.2464064249198</v>
      </c>
      <c r="K29" s="34">
        <f t="shared" ref="K29:L29" si="10">K27+K28</f>
        <v>1614.0494724745568</v>
      </c>
      <c r="L29" s="34">
        <f t="shared" si="10"/>
        <v>1705.4172574599593</v>
      </c>
    </row>
    <row r="30" spans="1:12" x14ac:dyDescent="0.35">
      <c r="A30" s="8" t="s">
        <v>112</v>
      </c>
      <c r="B30" s="8"/>
      <c r="C30" s="52">
        <f>IF(B29+B30&lt;0,B29+B30,0)</f>
        <v>0</v>
      </c>
      <c r="D30" s="52">
        <f>IF(C29+C30&lt;0,C29+C30,0)</f>
        <v>0</v>
      </c>
      <c r="E30" s="52">
        <f t="shared" ref="E30:L30" si="11">IF(D29+D30&lt;0,D29+D30,0)</f>
        <v>0</v>
      </c>
      <c r="F30" s="52">
        <f>IF(E29+E30&lt;0,E29+E30,0)</f>
        <v>0</v>
      </c>
      <c r="G30" s="52">
        <f>IF(F29+F30&lt;0,F29+F30,0)</f>
        <v>0</v>
      </c>
      <c r="H30" s="52">
        <f t="shared" si="11"/>
        <v>0</v>
      </c>
      <c r="I30" s="52">
        <f t="shared" si="11"/>
        <v>0</v>
      </c>
      <c r="J30" s="52">
        <f t="shared" si="11"/>
        <v>0</v>
      </c>
      <c r="K30" s="52">
        <f t="shared" si="11"/>
        <v>0</v>
      </c>
      <c r="L30" s="52">
        <f t="shared" si="11"/>
        <v>0</v>
      </c>
    </row>
    <row r="31" spans="1:12" x14ac:dyDescent="0.35">
      <c r="A31" s="16" t="s">
        <v>46</v>
      </c>
      <c r="B31" s="16"/>
      <c r="C31" s="33">
        <f t="shared" ref="C31:K31" si="12">IF(C29+C30&lt;0,0,-(C29+C30)*$B$13)</f>
        <v>-50.022400000000005</v>
      </c>
      <c r="D31" s="33">
        <f t="shared" si="12"/>
        <v>-53.344571999999999</v>
      </c>
      <c r="E31" s="33">
        <f t="shared" si="12"/>
        <v>-56.801769160000006</v>
      </c>
      <c r="F31" s="33">
        <f t="shared" si="12"/>
        <v>-60.399456634800003</v>
      </c>
      <c r="G31" s="33">
        <f t="shared" si="12"/>
        <v>-64.143320109844012</v>
      </c>
      <c r="H31" s="33">
        <f t="shared" si="12"/>
        <v>-68.039274680179346</v>
      </c>
      <c r="I31" s="33">
        <f t="shared" si="12"/>
        <v>-72.09347408630633</v>
      </c>
      <c r="J31" s="33">
        <f t="shared" si="12"/>
        <v>-76.312320321245991</v>
      </c>
      <c r="K31" s="33">
        <f t="shared" si="12"/>
        <v>-80.70247362372784</v>
      </c>
      <c r="L31" s="33">
        <f>IF(L29+L30&lt;0,0,-(L29+L30)*$B$13)</f>
        <v>-85.270862872997967</v>
      </c>
    </row>
    <row r="32" spans="1:12" x14ac:dyDescent="0.35">
      <c r="A32" s="7" t="s">
        <v>49</v>
      </c>
      <c r="B32" s="6"/>
      <c r="C32" s="34">
        <f>C29+C31</f>
        <v>950.42560000000003</v>
      </c>
      <c r="D32" s="34">
        <f t="shared" ref="D32:F32" si="13">D29+D31</f>
        <v>1013.5468679999999</v>
      </c>
      <c r="E32" s="34">
        <f t="shared" si="13"/>
        <v>1079.23361404</v>
      </c>
      <c r="F32" s="34">
        <f t="shared" si="13"/>
        <v>1147.5896760612</v>
      </c>
      <c r="G32" s="34">
        <f t="shared" ref="G32" si="14">G29+G31</f>
        <v>1218.7230820870363</v>
      </c>
      <c r="H32" s="34">
        <f t="shared" ref="H32" si="15">H29+H31</f>
        <v>1292.7462189234075</v>
      </c>
      <c r="I32" s="34">
        <f t="shared" ref="I32" si="16">I29+I31</f>
        <v>1369.7760076398204</v>
      </c>
      <c r="J32" s="34">
        <f t="shared" ref="J32" si="17">J29+J31</f>
        <v>1449.9340861036737</v>
      </c>
      <c r="K32" s="34">
        <f t="shared" ref="K32:L32" si="18">K29+K31</f>
        <v>1533.3469988508289</v>
      </c>
      <c r="L32" s="34">
        <f t="shared" si="18"/>
        <v>1620.1463945869614</v>
      </c>
    </row>
    <row r="33" spans="1:12" x14ac:dyDescent="0.35">
      <c r="A33" s="16" t="s">
        <v>55</v>
      </c>
      <c r="B33" s="16"/>
      <c r="C33" s="33">
        <f>-C28</f>
        <v>625</v>
      </c>
      <c r="D33" s="33">
        <f t="shared" ref="D33:F33" si="19">-D28</f>
        <v>625</v>
      </c>
      <c r="E33" s="33">
        <f t="shared" si="19"/>
        <v>625</v>
      </c>
      <c r="F33" s="33">
        <f t="shared" si="19"/>
        <v>625</v>
      </c>
      <c r="G33" s="33">
        <f t="shared" ref="G33:L33" si="20">-G28</f>
        <v>625</v>
      </c>
      <c r="H33" s="33">
        <f t="shared" si="20"/>
        <v>625</v>
      </c>
      <c r="I33" s="33">
        <f t="shared" si="20"/>
        <v>625</v>
      </c>
      <c r="J33" s="33">
        <f t="shared" si="20"/>
        <v>625</v>
      </c>
      <c r="K33" s="33">
        <f t="shared" si="20"/>
        <v>625</v>
      </c>
      <c r="L33" s="33">
        <f t="shared" si="20"/>
        <v>625</v>
      </c>
    </row>
    <row r="34" spans="1:12" x14ac:dyDescent="0.35">
      <c r="A34" s="7" t="s">
        <v>58</v>
      </c>
      <c r="B34" s="6"/>
      <c r="C34" s="34">
        <f>C32+C33</f>
        <v>1575.4256</v>
      </c>
      <c r="D34" s="34">
        <f t="shared" ref="D34:F34" si="21">D32+D33</f>
        <v>1638.5468679999999</v>
      </c>
      <c r="E34" s="34">
        <f t="shared" si="21"/>
        <v>1704.23361404</v>
      </c>
      <c r="F34" s="34">
        <f t="shared" si="21"/>
        <v>1772.5896760612</v>
      </c>
      <c r="G34" s="34">
        <f t="shared" ref="G34" si="22">G32+G33</f>
        <v>1843.7230820870363</v>
      </c>
      <c r="H34" s="34">
        <f t="shared" ref="H34" si="23">H32+H33</f>
        <v>1917.7462189234075</v>
      </c>
      <c r="I34" s="34">
        <f t="shared" ref="I34" si="24">I32+I33</f>
        <v>1994.7760076398204</v>
      </c>
      <c r="J34" s="34">
        <f t="shared" ref="J34" si="25">J32+J33</f>
        <v>2074.9340861036735</v>
      </c>
      <c r="K34" s="34">
        <f t="shared" ref="K34:L34" si="26">K32+K33</f>
        <v>2158.3469988508286</v>
      </c>
      <c r="L34" s="34">
        <f t="shared" si="26"/>
        <v>2245.1463945869614</v>
      </c>
    </row>
    <row r="35" spans="1:12" ht="6.65" customHeight="1" x14ac:dyDescent="0.35">
      <c r="A35" s="6"/>
      <c r="B35" s="6"/>
      <c r="C35" s="32"/>
      <c r="D35" s="32"/>
      <c r="E35" s="32"/>
      <c r="F35" s="32"/>
      <c r="G35" s="32"/>
      <c r="H35" s="32"/>
      <c r="I35" s="32"/>
      <c r="J35" s="32"/>
      <c r="K35" s="32"/>
      <c r="L35" s="32"/>
    </row>
    <row r="36" spans="1:12" x14ac:dyDescent="0.35">
      <c r="A36" s="15" t="s">
        <v>51</v>
      </c>
      <c r="B36" s="6"/>
      <c r="C36" s="32"/>
      <c r="D36" s="32"/>
      <c r="E36" s="32"/>
      <c r="F36" s="32"/>
      <c r="G36" s="32"/>
      <c r="H36" s="32"/>
      <c r="I36" s="32"/>
      <c r="J36" s="32"/>
      <c r="K36" s="32"/>
      <c r="L36" s="32"/>
    </row>
    <row r="37" spans="1:12" x14ac:dyDescent="0.35">
      <c r="A37" s="6" t="s">
        <v>108</v>
      </c>
      <c r="B37" s="6"/>
      <c r="C37" s="32"/>
      <c r="D37" s="32"/>
      <c r="E37" s="32"/>
      <c r="F37" s="32"/>
      <c r="G37" s="32"/>
      <c r="H37" s="32"/>
      <c r="I37" s="32"/>
      <c r="J37" s="32"/>
      <c r="K37" s="32"/>
      <c r="L37" s="32">
        <f>$B$5</f>
        <v>35948.789776588361</v>
      </c>
    </row>
    <row r="38" spans="1:12" x14ac:dyDescent="0.35">
      <c r="A38" s="8" t="s">
        <v>54</v>
      </c>
      <c r="B38" s="6"/>
      <c r="C38" s="32"/>
      <c r="D38" s="32"/>
      <c r="E38" s="32"/>
      <c r="F38" s="32"/>
      <c r="G38" s="32"/>
      <c r="H38" s="32"/>
      <c r="I38" s="32"/>
      <c r="J38" s="32"/>
      <c r="K38" s="32"/>
      <c r="L38" s="32">
        <f>-($B$5-L56)*$B$13</f>
        <v>-859.93948882941811</v>
      </c>
    </row>
    <row r="39" spans="1:12" x14ac:dyDescent="0.35">
      <c r="A39" s="16" t="s">
        <v>57</v>
      </c>
      <c r="B39" s="16"/>
      <c r="C39" s="33"/>
      <c r="D39" s="33"/>
      <c r="E39" s="33"/>
      <c r="F39" s="33"/>
      <c r="G39" s="33"/>
      <c r="H39" s="33"/>
      <c r="I39" s="33"/>
      <c r="J39" s="33"/>
      <c r="K39" s="33"/>
      <c r="L39" s="33">
        <f t="shared" ref="L39" si="27">$B$7</f>
        <v>0</v>
      </c>
    </row>
    <row r="40" spans="1:12" x14ac:dyDescent="0.35">
      <c r="A40" s="7" t="s">
        <v>60</v>
      </c>
      <c r="B40" s="6"/>
      <c r="C40" s="32"/>
      <c r="D40" s="32"/>
      <c r="E40" s="32"/>
      <c r="F40" s="32"/>
      <c r="G40" s="32"/>
      <c r="H40" s="32"/>
      <c r="I40" s="32"/>
      <c r="J40" s="32"/>
      <c r="K40" s="32"/>
      <c r="L40" s="34">
        <f t="shared" ref="L40" si="28">SUM(L37:L39)</f>
        <v>35088.850287758942</v>
      </c>
    </row>
    <row r="41" spans="1:12" ht="9.15" customHeight="1" x14ac:dyDescent="0.35">
      <c r="A41" s="6"/>
      <c r="B41" s="6"/>
      <c r="C41" s="6"/>
      <c r="D41" s="6"/>
      <c r="E41" s="6"/>
      <c r="F41" s="6"/>
      <c r="G41" s="6"/>
      <c r="H41" s="6"/>
      <c r="I41" s="6"/>
      <c r="J41" s="6"/>
      <c r="K41" s="6"/>
      <c r="L41" s="6"/>
    </row>
    <row r="42" spans="1:12" x14ac:dyDescent="0.35">
      <c r="A42" s="27" t="s">
        <v>61</v>
      </c>
      <c r="B42" s="28">
        <f>B21</f>
        <v>-25000</v>
      </c>
      <c r="C42" s="28">
        <f>C34</f>
        <v>1575.4256</v>
      </c>
      <c r="D42" s="28">
        <f t="shared" ref="D42:E42" si="29">D34</f>
        <v>1638.5468679999999</v>
      </c>
      <c r="E42" s="28">
        <f t="shared" si="29"/>
        <v>1704.23361404</v>
      </c>
      <c r="F42" s="28">
        <f>F34+F40</f>
        <v>1772.5896760612</v>
      </c>
      <c r="G42" s="28">
        <f t="shared" ref="G42:L42" si="30">G34+G40</f>
        <v>1843.7230820870363</v>
      </c>
      <c r="H42" s="28">
        <f t="shared" si="30"/>
        <v>1917.7462189234075</v>
      </c>
      <c r="I42" s="28">
        <f t="shared" si="30"/>
        <v>1994.7760076398204</v>
      </c>
      <c r="J42" s="28">
        <f t="shared" si="30"/>
        <v>2074.9340861036735</v>
      </c>
      <c r="K42" s="28">
        <f t="shared" si="30"/>
        <v>2158.3469988508286</v>
      </c>
      <c r="L42" s="28">
        <f t="shared" si="30"/>
        <v>37333.996682345904</v>
      </c>
    </row>
    <row r="43" spans="1:12" outlineLevel="1" x14ac:dyDescent="0.35">
      <c r="A43" s="7" t="s">
        <v>29</v>
      </c>
      <c r="B43" s="46">
        <f>B42/(1+$E$47)^B16</f>
        <v>-25000</v>
      </c>
      <c r="C43" s="46">
        <f>C42/(1+$E$47)^C16</f>
        <v>1479.2728638497654</v>
      </c>
      <c r="D43" s="46">
        <f>D42/(1+$E$47)^D16</f>
        <v>1444.6400564261942</v>
      </c>
      <c r="E43" s="46">
        <f>E42/(1+$E$47)^E16</f>
        <v>1410.8482496031243</v>
      </c>
      <c r="F43" s="46">
        <f>F42/(1+$E$47)^F16</f>
        <v>1377.8748858841343</v>
      </c>
      <c r="G43" s="46">
        <f t="shared" ref="G43:L43" si="31">G42/(1+$E$47)^G16</f>
        <v>1345.6981454666793</v>
      </c>
      <c r="H43" s="46">
        <f t="shared" si="31"/>
        <v>1314.2969150260235</v>
      </c>
      <c r="I43" s="46">
        <f t="shared" si="31"/>
        <v>1283.6507581194942</v>
      </c>
      <c r="J43" s="46">
        <f t="shared" si="31"/>
        <v>1253.7398871175549</v>
      </c>
      <c r="K43" s="46">
        <f t="shared" si="31"/>
        <v>1224.5451365738365</v>
      </c>
      <c r="L43" s="46">
        <f t="shared" si="31"/>
        <v>19888.792042722715</v>
      </c>
    </row>
    <row r="44" spans="1:12" outlineLevel="1" x14ac:dyDescent="0.35">
      <c r="A44" s="6" t="s">
        <v>66</v>
      </c>
      <c r="B44" s="47">
        <f>B42</f>
        <v>-25000</v>
      </c>
      <c r="C44" s="47">
        <f t="shared" ref="C44:F45" si="32">B44+C42</f>
        <v>-23424.574400000001</v>
      </c>
      <c r="D44" s="47">
        <f t="shared" si="32"/>
        <v>-21786.027532</v>
      </c>
      <c r="E44" s="47">
        <f t="shared" si="32"/>
        <v>-20081.79391796</v>
      </c>
      <c r="F44" s="47">
        <f t="shared" si="32"/>
        <v>-18309.204241898799</v>
      </c>
      <c r="G44" s="47">
        <f t="shared" ref="G44:K44" si="33">F44+G42</f>
        <v>-16465.481159811763</v>
      </c>
      <c r="H44" s="47">
        <f t="shared" si="33"/>
        <v>-14547.734940888357</v>
      </c>
      <c r="I44" s="47">
        <f t="shared" si="33"/>
        <v>-12552.958933248536</v>
      </c>
      <c r="J44" s="47">
        <f t="shared" si="33"/>
        <v>-10478.024847144861</v>
      </c>
      <c r="K44" s="47">
        <f t="shared" si="33"/>
        <v>-8319.6778482940317</v>
      </c>
      <c r="L44" s="47">
        <f>K44+L42</f>
        <v>29014.318834051872</v>
      </c>
    </row>
    <row r="45" spans="1:12" outlineLevel="1" x14ac:dyDescent="0.35">
      <c r="A45" s="6" t="s">
        <v>67</v>
      </c>
      <c r="B45" s="47">
        <f>B43</f>
        <v>-25000</v>
      </c>
      <c r="C45" s="47">
        <f t="shared" si="32"/>
        <v>-23520.727136150235</v>
      </c>
      <c r="D45" s="47">
        <f t="shared" si="32"/>
        <v>-22076.087079724042</v>
      </c>
      <c r="E45" s="47">
        <f t="shared" si="32"/>
        <v>-20665.238830120918</v>
      </c>
      <c r="F45" s="47">
        <f t="shared" si="32"/>
        <v>-19287.363944236782</v>
      </c>
      <c r="G45" s="47">
        <f t="shared" ref="G45:K45" si="34">F45+G43</f>
        <v>-17941.665798770104</v>
      </c>
      <c r="H45" s="47">
        <f t="shared" si="34"/>
        <v>-16627.368883744079</v>
      </c>
      <c r="I45" s="47">
        <f t="shared" si="34"/>
        <v>-15343.718125624584</v>
      </c>
      <c r="J45" s="47">
        <f t="shared" si="34"/>
        <v>-14089.978238507028</v>
      </c>
      <c r="K45" s="47">
        <f t="shared" si="34"/>
        <v>-12865.433101933191</v>
      </c>
      <c r="L45" s="47">
        <f>K45+L43</f>
        <v>7023.3589407895233</v>
      </c>
    </row>
    <row r="46" spans="1:12" ht="15.65" customHeight="1" x14ac:dyDescent="0.35">
      <c r="A46" s="6"/>
      <c r="B46" s="6"/>
      <c r="C46" s="6"/>
      <c r="D46" s="6"/>
      <c r="E46" s="6"/>
      <c r="F46" s="6"/>
      <c r="G46" s="6"/>
      <c r="H46" s="6"/>
      <c r="I46" s="6"/>
      <c r="J46" s="6"/>
      <c r="K46" s="6"/>
      <c r="L46" s="6"/>
    </row>
    <row r="47" spans="1:12" x14ac:dyDescent="0.35">
      <c r="A47" s="21" t="s">
        <v>24</v>
      </c>
      <c r="B47" s="22">
        <f>SUM(B43:L43)</f>
        <v>7023.3589407895233</v>
      </c>
      <c r="C47" s="25"/>
      <c r="D47" s="21" t="s">
        <v>65</v>
      </c>
      <c r="E47" s="23">
        <v>6.5000000000000002E-2</v>
      </c>
      <c r="F47" s="6"/>
      <c r="G47" s="6"/>
      <c r="H47" s="6"/>
      <c r="I47" s="6"/>
      <c r="J47" s="6"/>
      <c r="K47" s="6"/>
      <c r="L47" s="6"/>
    </row>
    <row r="48" spans="1:12" x14ac:dyDescent="0.35">
      <c r="A48" s="21" t="s">
        <v>62</v>
      </c>
      <c r="B48" s="23">
        <f>IRR(B42:L42)</f>
        <v>9.8892878994402578E-2</v>
      </c>
      <c r="C48" s="25"/>
      <c r="D48" s="25"/>
      <c r="E48" s="25"/>
      <c r="F48" s="6"/>
      <c r="G48" s="13"/>
      <c r="H48" s="6"/>
      <c r="I48" s="6"/>
      <c r="J48" s="6"/>
      <c r="K48" s="6"/>
      <c r="L48" s="6"/>
    </row>
    <row r="49" spans="1:12" x14ac:dyDescent="0.35">
      <c r="A49" s="21" t="s">
        <v>109</v>
      </c>
      <c r="B49" s="23">
        <f>MIRR(B42:L42,E47,E47)</f>
        <v>9.1697448384358005E-2</v>
      </c>
      <c r="C49" s="25"/>
      <c r="D49" s="25"/>
      <c r="E49" s="25"/>
      <c r="F49" s="6"/>
      <c r="G49" s="13"/>
      <c r="H49" s="6"/>
      <c r="I49" s="6"/>
      <c r="J49" s="6"/>
      <c r="K49" s="6"/>
      <c r="L49" s="6"/>
    </row>
    <row r="50" spans="1:12" x14ac:dyDescent="0.35">
      <c r="A50" s="21" t="s">
        <v>63</v>
      </c>
      <c r="B50" s="24">
        <f>MATCH(0,B44:L44)-1+-INDEX(B44:L44,1,MATCH(0,B44:L44))/INDEX(C42:L42,1,MATCH(0,B44:L44))</f>
        <v>9.2228445542297948</v>
      </c>
      <c r="C50" s="25"/>
      <c r="D50" s="25"/>
      <c r="E50" s="25"/>
      <c r="F50" s="6"/>
      <c r="G50" s="6"/>
      <c r="H50" s="6"/>
      <c r="I50" s="6"/>
      <c r="J50" s="6"/>
      <c r="K50" s="6"/>
      <c r="L50" s="6"/>
    </row>
    <row r="51" spans="1:12" x14ac:dyDescent="0.35">
      <c r="A51" s="21" t="s">
        <v>64</v>
      </c>
      <c r="B51" s="24">
        <f>MATCH(0,B45:L45)-1+-INDEX(B45:L45,1,MATCH(0,B45:L45))/INDEX(C43:L43,1,MATCH(0,B45:L45))</f>
        <v>9.6468685013296547</v>
      </c>
      <c r="C51" s="25"/>
      <c r="D51" s="25"/>
      <c r="E51" s="25"/>
      <c r="F51" s="6"/>
      <c r="G51" s="6"/>
      <c r="H51" s="6"/>
      <c r="I51" s="6"/>
      <c r="J51" s="6"/>
      <c r="K51" s="6"/>
      <c r="L51" s="6"/>
    </row>
    <row r="52" spans="1:12" x14ac:dyDescent="0.35">
      <c r="A52" s="6"/>
      <c r="B52" s="6"/>
      <c r="C52" s="6"/>
      <c r="D52" s="6"/>
      <c r="E52" s="6"/>
      <c r="F52" s="6"/>
      <c r="G52" s="6"/>
      <c r="H52" s="6"/>
      <c r="I52" s="6"/>
      <c r="J52" s="6"/>
      <c r="K52" s="6"/>
      <c r="L52" s="6"/>
    </row>
    <row r="53" spans="1:12" x14ac:dyDescent="0.35">
      <c r="A53" s="17" t="s">
        <v>50</v>
      </c>
      <c r="B53" s="17"/>
      <c r="C53" s="17"/>
      <c r="D53" s="17"/>
      <c r="E53" s="17"/>
      <c r="F53" s="17"/>
      <c r="G53" s="17"/>
      <c r="H53" s="17"/>
      <c r="I53" s="17"/>
      <c r="J53" s="17"/>
      <c r="K53" s="17"/>
      <c r="L53" s="17"/>
    </row>
    <row r="54" spans="1:12" x14ac:dyDescent="0.35">
      <c r="A54" s="17" t="s">
        <v>100</v>
      </c>
      <c r="B54" s="17"/>
      <c r="C54" s="29">
        <f>$B$14</f>
        <v>2.5000000000000001E-2</v>
      </c>
      <c r="D54" s="29">
        <f>C54</f>
        <v>2.5000000000000001E-2</v>
      </c>
      <c r="E54" s="29">
        <f>D54</f>
        <v>2.5000000000000001E-2</v>
      </c>
      <c r="F54" s="29">
        <f>E54</f>
        <v>2.5000000000000001E-2</v>
      </c>
      <c r="G54" s="29">
        <f>F54</f>
        <v>2.5000000000000001E-2</v>
      </c>
      <c r="H54" s="29">
        <f>G54</f>
        <v>2.5000000000000001E-2</v>
      </c>
      <c r="I54" s="29">
        <f t="shared" ref="I54:K54" si="35">H54</f>
        <v>2.5000000000000001E-2</v>
      </c>
      <c r="J54" s="29">
        <f t="shared" si="35"/>
        <v>2.5000000000000001E-2</v>
      </c>
      <c r="K54" s="29">
        <f t="shared" si="35"/>
        <v>2.5000000000000001E-2</v>
      </c>
      <c r="L54" s="29">
        <f>K54</f>
        <v>2.5000000000000001E-2</v>
      </c>
    </row>
    <row r="55" spans="1:12" x14ac:dyDescent="0.35">
      <c r="A55" s="17"/>
      <c r="B55" s="17"/>
      <c r="C55" s="17"/>
      <c r="D55" s="17"/>
      <c r="E55" s="17"/>
      <c r="F55" s="17"/>
      <c r="G55" s="17"/>
      <c r="H55" s="17"/>
      <c r="I55" s="17"/>
      <c r="J55" s="17"/>
      <c r="K55" s="17"/>
      <c r="L55" s="17"/>
    </row>
    <row r="56" spans="1:12" x14ac:dyDescent="0.35">
      <c r="A56" s="17" t="s">
        <v>53</v>
      </c>
      <c r="B56" s="48">
        <f>B3+B4</f>
        <v>25000</v>
      </c>
      <c r="C56" s="48">
        <f>B56-C54*$B$56</f>
        <v>24375</v>
      </c>
      <c r="D56" s="48">
        <f t="shared" ref="D56:H56" si="36">C56-D54*$B$56</f>
        <v>23750</v>
      </c>
      <c r="E56" s="48">
        <f t="shared" si="36"/>
        <v>23125</v>
      </c>
      <c r="F56" s="48">
        <f t="shared" si="36"/>
        <v>22500</v>
      </c>
      <c r="G56" s="48">
        <f t="shared" si="36"/>
        <v>21875</v>
      </c>
      <c r="H56" s="48">
        <f t="shared" si="36"/>
        <v>21250</v>
      </c>
      <c r="I56" s="48">
        <f t="shared" ref="I56:K56" si="37">H56-I54*$B$56</f>
        <v>20625</v>
      </c>
      <c r="J56" s="48">
        <f t="shared" si="37"/>
        <v>20000</v>
      </c>
      <c r="K56" s="48">
        <f t="shared" si="37"/>
        <v>19375</v>
      </c>
      <c r="L56" s="48">
        <f>K56-L54*$B$56</f>
        <v>18750</v>
      </c>
    </row>
    <row r="57" spans="1:12" x14ac:dyDescent="0.35">
      <c r="A57" s="6"/>
      <c r="B57" s="6"/>
      <c r="C57" s="6"/>
      <c r="D57" s="6"/>
      <c r="E57" s="6"/>
      <c r="F57" s="6"/>
      <c r="G57" s="6"/>
      <c r="H57" s="6"/>
      <c r="I57" s="6"/>
      <c r="J57" s="6"/>
      <c r="K57" s="6"/>
      <c r="L57" s="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4"/>
  <sheetViews>
    <sheetView topLeftCell="A31" zoomScaleNormal="100" workbookViewId="0">
      <selection activeCell="C12" sqref="A2:C12"/>
    </sheetView>
  </sheetViews>
  <sheetFormatPr defaultRowHeight="14.5" outlineLevelRow="1" x14ac:dyDescent="0.35"/>
  <cols>
    <col min="1" max="1" width="25.90625" customWidth="1"/>
    <col min="2" max="2" width="11.453125" bestFit="1" customWidth="1"/>
    <col min="3" max="3" width="10.54296875" customWidth="1"/>
    <col min="4" max="4" width="10.453125" bestFit="1" customWidth="1"/>
    <col min="5" max="5" width="11.1796875" customWidth="1"/>
    <col min="6" max="6" width="11.453125" bestFit="1" customWidth="1"/>
  </cols>
  <sheetData>
    <row r="1" spans="1:8" x14ac:dyDescent="0.35">
      <c r="A1" s="6"/>
      <c r="B1" s="6"/>
      <c r="C1" s="6"/>
      <c r="D1" s="6"/>
      <c r="E1" s="6"/>
      <c r="F1" s="6"/>
      <c r="G1" s="6"/>
      <c r="H1" s="6"/>
    </row>
    <row r="2" spans="1:8" x14ac:dyDescent="0.35">
      <c r="A2" s="17" t="s">
        <v>41</v>
      </c>
      <c r="B2" s="17"/>
      <c r="C2" s="17"/>
      <c r="D2" s="6"/>
      <c r="E2" s="6"/>
      <c r="F2" s="6"/>
      <c r="G2" s="6"/>
      <c r="H2" s="6"/>
    </row>
    <row r="3" spans="1:8" x14ac:dyDescent="0.35">
      <c r="A3" s="17" t="s">
        <v>32</v>
      </c>
      <c r="B3" s="17">
        <v>9500</v>
      </c>
      <c r="C3" s="17"/>
      <c r="D3" s="6"/>
      <c r="E3" s="6"/>
      <c r="F3" s="6"/>
      <c r="G3" s="6"/>
      <c r="H3" s="6"/>
    </row>
    <row r="4" spans="1:8" x14ac:dyDescent="0.35">
      <c r="A4" s="17" t="s">
        <v>33</v>
      </c>
      <c r="B4" s="17">
        <v>500</v>
      </c>
      <c r="C4" s="17"/>
      <c r="D4" s="6"/>
      <c r="E4" s="6"/>
      <c r="F4" s="6"/>
      <c r="G4" s="6"/>
      <c r="H4" s="6"/>
    </row>
    <row r="5" spans="1:8" x14ac:dyDescent="0.35">
      <c r="A5" s="17" t="s">
        <v>52</v>
      </c>
      <c r="B5" s="17">
        <v>2000</v>
      </c>
      <c r="C5" s="17"/>
      <c r="D5" s="6"/>
      <c r="E5" s="6"/>
      <c r="F5" s="6"/>
      <c r="G5" s="6"/>
      <c r="H5" s="6"/>
    </row>
    <row r="6" spans="1:8" x14ac:dyDescent="0.35">
      <c r="A6" s="17"/>
      <c r="B6" s="17"/>
      <c r="C6" s="17"/>
      <c r="D6" s="6"/>
      <c r="E6" s="6"/>
      <c r="F6" s="6"/>
      <c r="G6" s="6"/>
      <c r="H6" s="6"/>
    </row>
    <row r="7" spans="1:8" x14ac:dyDescent="0.35">
      <c r="A7" s="17" t="s">
        <v>34</v>
      </c>
      <c r="B7" s="17">
        <v>4000</v>
      </c>
      <c r="C7" s="17"/>
      <c r="D7" s="6"/>
      <c r="E7" s="6"/>
      <c r="F7" s="6"/>
      <c r="G7" s="6"/>
      <c r="H7" s="6"/>
    </row>
    <row r="8" spans="1:8" x14ac:dyDescent="0.35">
      <c r="A8" s="17" t="s">
        <v>39</v>
      </c>
      <c r="B8" s="17">
        <v>15000</v>
      </c>
      <c r="C8" s="17"/>
      <c r="D8" s="6"/>
      <c r="E8" s="6"/>
      <c r="F8" s="6"/>
      <c r="G8" s="6"/>
      <c r="H8" s="6"/>
    </row>
    <row r="9" spans="1:8" x14ac:dyDescent="0.35">
      <c r="A9" s="17" t="s">
        <v>40</v>
      </c>
      <c r="B9" s="17">
        <v>2</v>
      </c>
      <c r="C9" s="17"/>
      <c r="D9" s="6"/>
      <c r="E9" s="6"/>
      <c r="F9" s="6"/>
      <c r="G9" s="6"/>
      <c r="H9" s="6"/>
    </row>
    <row r="10" spans="1:8" x14ac:dyDescent="0.35">
      <c r="A10" s="17" t="s">
        <v>37</v>
      </c>
      <c r="B10" s="18">
        <v>0.6</v>
      </c>
      <c r="C10" s="17" t="s">
        <v>42</v>
      </c>
      <c r="D10" s="6"/>
      <c r="E10" s="6"/>
      <c r="F10" s="6"/>
      <c r="G10" s="6"/>
      <c r="H10" s="6"/>
    </row>
    <row r="11" spans="1:8" x14ac:dyDescent="0.35">
      <c r="A11" s="17" t="s">
        <v>38</v>
      </c>
      <c r="B11" s="19">
        <v>5000</v>
      </c>
      <c r="C11" s="17"/>
      <c r="D11" s="6"/>
      <c r="E11" s="6"/>
      <c r="F11" s="6"/>
      <c r="G11" s="6"/>
      <c r="H11" s="6"/>
    </row>
    <row r="12" spans="1:8" x14ac:dyDescent="0.35">
      <c r="A12" s="17" t="s">
        <v>47</v>
      </c>
      <c r="B12" s="18">
        <v>0.4</v>
      </c>
      <c r="C12" s="17"/>
      <c r="D12" s="6"/>
      <c r="E12" s="6"/>
      <c r="F12" s="6"/>
      <c r="G12" s="6"/>
      <c r="H12" s="6"/>
    </row>
    <row r="13" spans="1:8" x14ac:dyDescent="0.35">
      <c r="A13" s="6"/>
      <c r="B13" s="13"/>
      <c r="C13" s="6"/>
      <c r="D13" s="6"/>
      <c r="E13" s="6"/>
      <c r="F13" s="6"/>
      <c r="G13" s="6"/>
      <c r="H13" s="6"/>
    </row>
    <row r="14" spans="1:8" x14ac:dyDescent="0.35">
      <c r="A14" s="5"/>
      <c r="B14" s="5">
        <v>0</v>
      </c>
      <c r="C14" s="5">
        <v>1</v>
      </c>
      <c r="D14" s="5">
        <v>2</v>
      </c>
      <c r="E14" s="5">
        <v>3</v>
      </c>
      <c r="F14" s="5">
        <v>4</v>
      </c>
      <c r="G14" s="6"/>
      <c r="H14" s="6"/>
    </row>
    <row r="15" spans="1:8" x14ac:dyDescent="0.35">
      <c r="A15" s="15" t="s">
        <v>31</v>
      </c>
      <c r="B15" s="6"/>
      <c r="C15" s="6"/>
      <c r="D15" s="6"/>
      <c r="E15" s="6"/>
      <c r="F15" s="6"/>
      <c r="G15" s="6"/>
      <c r="H15" s="6"/>
    </row>
    <row r="16" spans="1:8" x14ac:dyDescent="0.35">
      <c r="A16" s="6" t="s">
        <v>32</v>
      </c>
      <c r="B16" s="6">
        <f>-B3</f>
        <v>-9500</v>
      </c>
      <c r="C16" s="6"/>
      <c r="D16" s="6"/>
      <c r="E16" s="6"/>
      <c r="F16" s="6"/>
      <c r="G16" s="6"/>
      <c r="H16" s="6"/>
    </row>
    <row r="17" spans="1:8" x14ac:dyDescent="0.35">
      <c r="A17" s="6" t="s">
        <v>33</v>
      </c>
      <c r="B17" s="6">
        <f>-B4</f>
        <v>-500</v>
      </c>
      <c r="C17" s="6"/>
      <c r="D17" s="6"/>
      <c r="E17" s="6"/>
      <c r="F17" s="6"/>
      <c r="G17" s="6"/>
      <c r="H17" s="6"/>
    </row>
    <row r="18" spans="1:8" x14ac:dyDescent="0.35">
      <c r="A18" s="6" t="s">
        <v>34</v>
      </c>
      <c r="B18" s="6">
        <f>-B7</f>
        <v>-4000</v>
      </c>
      <c r="C18" s="6"/>
      <c r="D18" s="6"/>
      <c r="E18" s="6"/>
      <c r="F18" s="6"/>
      <c r="G18" s="6"/>
      <c r="H18" s="6"/>
    </row>
    <row r="19" spans="1:8" x14ac:dyDescent="0.35">
      <c r="A19" s="7" t="s">
        <v>35</v>
      </c>
      <c r="B19" s="6">
        <f>SUM(B16:B18)</f>
        <v>-14000</v>
      </c>
      <c r="C19" s="6"/>
      <c r="D19" s="6"/>
      <c r="E19" s="6"/>
      <c r="F19" s="6"/>
      <c r="G19" s="6"/>
      <c r="H19" s="6"/>
    </row>
    <row r="20" spans="1:8" ht="11.5" customHeight="1" x14ac:dyDescent="0.35">
      <c r="A20" s="6"/>
      <c r="B20" s="6"/>
      <c r="C20" s="6"/>
      <c r="D20" s="6"/>
      <c r="E20" s="6"/>
      <c r="F20" s="6"/>
      <c r="G20" s="6"/>
      <c r="H20" s="6"/>
    </row>
    <row r="21" spans="1:8" x14ac:dyDescent="0.35">
      <c r="A21" s="15" t="s">
        <v>59</v>
      </c>
      <c r="B21" s="6"/>
      <c r="C21" s="6"/>
      <c r="D21" s="6"/>
      <c r="E21" s="6"/>
      <c r="F21" s="6"/>
      <c r="G21" s="6"/>
      <c r="H21" s="6"/>
    </row>
    <row r="22" spans="1:8" x14ac:dyDescent="0.35">
      <c r="A22" s="6" t="s">
        <v>36</v>
      </c>
      <c r="B22" s="6"/>
      <c r="C22" s="6">
        <f>B8*B9</f>
        <v>30000</v>
      </c>
      <c r="D22" s="6">
        <f>C22</f>
        <v>30000</v>
      </c>
      <c r="E22" s="6">
        <f t="shared" ref="E22:F22" si="0">D22</f>
        <v>30000</v>
      </c>
      <c r="F22" s="6">
        <f t="shared" si="0"/>
        <v>30000</v>
      </c>
      <c r="G22" s="6"/>
      <c r="H22" s="6"/>
    </row>
    <row r="23" spans="1:8" x14ac:dyDescent="0.35">
      <c r="A23" s="8" t="s">
        <v>37</v>
      </c>
      <c r="B23" s="6"/>
      <c r="C23" s="6">
        <f>-C22*$B$10</f>
        <v>-18000</v>
      </c>
      <c r="D23" s="6">
        <f t="shared" ref="D23:F23" si="1">-D22*$B$10</f>
        <v>-18000</v>
      </c>
      <c r="E23" s="6">
        <f t="shared" si="1"/>
        <v>-18000</v>
      </c>
      <c r="F23" s="6">
        <f t="shared" si="1"/>
        <v>-18000</v>
      </c>
      <c r="G23" s="6"/>
      <c r="H23" s="6"/>
    </row>
    <row r="24" spans="1:8" x14ac:dyDescent="0.35">
      <c r="A24" s="16" t="s">
        <v>38</v>
      </c>
      <c r="B24" s="16"/>
      <c r="C24" s="16">
        <f>-B11</f>
        <v>-5000</v>
      </c>
      <c r="D24" s="16">
        <f>C24</f>
        <v>-5000</v>
      </c>
      <c r="E24" s="16">
        <f t="shared" ref="E24:F24" si="2">D24</f>
        <v>-5000</v>
      </c>
      <c r="F24" s="16">
        <f t="shared" si="2"/>
        <v>-5000</v>
      </c>
      <c r="G24" s="6"/>
      <c r="H24" s="6"/>
    </row>
    <row r="25" spans="1:8" x14ac:dyDescent="0.35">
      <c r="A25" s="7" t="s">
        <v>45</v>
      </c>
      <c r="B25" s="6"/>
      <c r="C25" s="7">
        <f>SUM(C22:C24)</f>
        <v>7000</v>
      </c>
      <c r="D25" s="7">
        <f>SUM(D22:D24)</f>
        <v>7000</v>
      </c>
      <c r="E25" s="7">
        <f>SUM(E22:E24)</f>
        <v>7000</v>
      </c>
      <c r="F25" s="7">
        <f>SUM(F22:F24)</f>
        <v>7000</v>
      </c>
      <c r="G25" s="6"/>
      <c r="H25" s="6"/>
    </row>
    <row r="26" spans="1:8" x14ac:dyDescent="0.35">
      <c r="A26" s="16" t="s">
        <v>43</v>
      </c>
      <c r="B26" s="16"/>
      <c r="C26" s="16">
        <f>($B$16+$B$17)*C51</f>
        <v>-2000</v>
      </c>
      <c r="D26" s="16">
        <f>($B$16+$B$17)*D51</f>
        <v>-3200</v>
      </c>
      <c r="E26" s="16">
        <f>($B$16+$B$17)*E51</f>
        <v>-1920</v>
      </c>
      <c r="F26" s="16">
        <f>($B$16+$B$17)*F51</f>
        <v>-1152</v>
      </c>
      <c r="G26" s="6"/>
      <c r="H26" s="6"/>
    </row>
    <row r="27" spans="1:8" x14ac:dyDescent="0.35">
      <c r="A27" s="7" t="s">
        <v>48</v>
      </c>
      <c r="B27" s="6"/>
      <c r="C27" s="7">
        <f>C25+C26</f>
        <v>5000</v>
      </c>
      <c r="D27" s="7">
        <f t="shared" ref="D27:E27" si="3">D25+D26</f>
        <v>3800</v>
      </c>
      <c r="E27" s="7">
        <f t="shared" si="3"/>
        <v>5080</v>
      </c>
      <c r="F27" s="7">
        <f>F25+F26</f>
        <v>5848</v>
      </c>
      <c r="G27" s="6"/>
      <c r="H27" s="6"/>
    </row>
    <row r="28" spans="1:8" x14ac:dyDescent="0.35">
      <c r="A28" s="16" t="s">
        <v>46</v>
      </c>
      <c r="B28" s="16"/>
      <c r="C28" s="16">
        <f>-$B$12*C27</f>
        <v>-2000</v>
      </c>
      <c r="D28" s="16">
        <f>-$B$12*D27</f>
        <v>-1520</v>
      </c>
      <c r="E28" s="16">
        <f>-$B$12*E27</f>
        <v>-2032</v>
      </c>
      <c r="F28" s="16">
        <f>-$B$12*F27</f>
        <v>-2339.2000000000003</v>
      </c>
      <c r="G28" s="6"/>
      <c r="H28" s="6"/>
    </row>
    <row r="29" spans="1:8" x14ac:dyDescent="0.35">
      <c r="A29" s="7" t="s">
        <v>49</v>
      </c>
      <c r="B29" s="6"/>
      <c r="C29" s="7">
        <f>C27+C28</f>
        <v>3000</v>
      </c>
      <c r="D29" s="7">
        <f t="shared" ref="D29:F29" si="4">D27+D28</f>
        <v>2280</v>
      </c>
      <c r="E29" s="7">
        <f t="shared" si="4"/>
        <v>3048</v>
      </c>
      <c r="F29" s="7">
        <f t="shared" si="4"/>
        <v>3508.7999999999997</v>
      </c>
      <c r="G29" s="6"/>
      <c r="H29" s="6"/>
    </row>
    <row r="30" spans="1:8" x14ac:dyDescent="0.35">
      <c r="A30" s="16" t="s">
        <v>55</v>
      </c>
      <c r="B30" s="16"/>
      <c r="C30" s="16">
        <f>-C26</f>
        <v>2000</v>
      </c>
      <c r="D30" s="16">
        <f t="shared" ref="D30:F30" si="5">-D26</f>
        <v>3200</v>
      </c>
      <c r="E30" s="16">
        <f t="shared" si="5"/>
        <v>1920</v>
      </c>
      <c r="F30" s="16">
        <f t="shared" si="5"/>
        <v>1152</v>
      </c>
      <c r="G30" s="6"/>
      <c r="H30" s="6"/>
    </row>
    <row r="31" spans="1:8" x14ac:dyDescent="0.35">
      <c r="A31" s="7" t="s">
        <v>58</v>
      </c>
      <c r="B31" s="6"/>
      <c r="C31" s="7">
        <f>C29+C30</f>
        <v>5000</v>
      </c>
      <c r="D31" s="7">
        <f t="shared" ref="D31:F31" si="6">D29+D30</f>
        <v>5480</v>
      </c>
      <c r="E31" s="7">
        <f t="shared" si="6"/>
        <v>4968</v>
      </c>
      <c r="F31" s="7">
        <f t="shared" si="6"/>
        <v>4660.7999999999993</v>
      </c>
      <c r="G31" s="6"/>
      <c r="H31" s="6"/>
    </row>
    <row r="32" spans="1:8" ht="6.65" customHeight="1" x14ac:dyDescent="0.35">
      <c r="A32" s="6"/>
      <c r="B32" s="6"/>
      <c r="C32" s="6"/>
      <c r="D32" s="6"/>
      <c r="E32" s="6"/>
      <c r="F32" s="6"/>
      <c r="G32" s="6"/>
      <c r="H32" s="6"/>
    </row>
    <row r="33" spans="1:8" x14ac:dyDescent="0.35">
      <c r="A33" s="15" t="s">
        <v>51</v>
      </c>
      <c r="B33" s="6"/>
      <c r="C33" s="6"/>
      <c r="D33" s="6"/>
      <c r="E33" s="6"/>
      <c r="F33" s="6"/>
      <c r="G33" s="6"/>
      <c r="H33" s="6"/>
    </row>
    <row r="34" spans="1:8" x14ac:dyDescent="0.35">
      <c r="A34" s="6" t="s">
        <v>56</v>
      </c>
      <c r="B34" s="6"/>
      <c r="C34" s="6"/>
      <c r="D34" s="6"/>
      <c r="E34" s="6"/>
      <c r="F34" s="6">
        <f>B5</f>
        <v>2000</v>
      </c>
      <c r="G34" s="6"/>
      <c r="H34" s="6"/>
    </row>
    <row r="35" spans="1:8" x14ac:dyDescent="0.35">
      <c r="A35" s="8" t="s">
        <v>54</v>
      </c>
      <c r="B35" s="6"/>
      <c r="C35" s="6"/>
      <c r="D35" s="6"/>
      <c r="E35" s="6"/>
      <c r="F35" s="6">
        <f>-(B5-F53)*B12</f>
        <v>-108.80000000000001</v>
      </c>
      <c r="G35" s="6"/>
      <c r="H35" s="6"/>
    </row>
    <row r="36" spans="1:8" x14ac:dyDescent="0.35">
      <c r="A36" s="16" t="s">
        <v>57</v>
      </c>
      <c r="B36" s="16"/>
      <c r="C36" s="16"/>
      <c r="D36" s="16"/>
      <c r="E36" s="16"/>
      <c r="F36" s="16">
        <f>B7</f>
        <v>4000</v>
      </c>
      <c r="G36" s="6"/>
      <c r="H36" s="6"/>
    </row>
    <row r="37" spans="1:8" x14ac:dyDescent="0.35">
      <c r="A37" s="7" t="s">
        <v>60</v>
      </c>
      <c r="B37" s="6"/>
      <c r="C37" s="6"/>
      <c r="D37" s="6"/>
      <c r="E37" s="6"/>
      <c r="F37" s="7">
        <f>SUM(F34:F36)</f>
        <v>5891.2</v>
      </c>
      <c r="G37" s="6"/>
      <c r="H37" s="6"/>
    </row>
    <row r="38" spans="1:8" ht="9.15" customHeight="1" x14ac:dyDescent="0.35">
      <c r="A38" s="6"/>
      <c r="B38" s="6"/>
      <c r="C38" s="6"/>
      <c r="D38" s="6"/>
      <c r="E38" s="6"/>
      <c r="F38" s="6"/>
      <c r="G38" s="6"/>
      <c r="H38" s="6"/>
    </row>
    <row r="39" spans="1:8" x14ac:dyDescent="0.35">
      <c r="A39" s="27" t="s">
        <v>61</v>
      </c>
      <c r="B39" s="28">
        <f>B19</f>
        <v>-14000</v>
      </c>
      <c r="C39" s="28">
        <f>C31</f>
        <v>5000</v>
      </c>
      <c r="D39" s="28">
        <f t="shared" ref="D39:E39" si="7">D31</f>
        <v>5480</v>
      </c>
      <c r="E39" s="28">
        <f t="shared" si="7"/>
        <v>4968</v>
      </c>
      <c r="F39" s="28">
        <f>F31+F37</f>
        <v>10552</v>
      </c>
      <c r="G39" s="6"/>
      <c r="H39" s="6"/>
    </row>
    <row r="40" spans="1:8" outlineLevel="1" x14ac:dyDescent="0.35">
      <c r="A40" s="7" t="s">
        <v>29</v>
      </c>
      <c r="B40" s="9">
        <f>B39/(1+$E$44)^B14</f>
        <v>-14000</v>
      </c>
      <c r="C40" s="9">
        <f>C39/(1+$E$44)^C14</f>
        <v>4347.826086956522</v>
      </c>
      <c r="D40" s="9">
        <f>D39/(1+$E$44)^D14</f>
        <v>4143.6672967863897</v>
      </c>
      <c r="E40" s="9">
        <f>E39/(1+$E$44)^E14</f>
        <v>3266.5406427221183</v>
      </c>
      <c r="F40" s="9">
        <f>F39/(1+$E$44)^F14</f>
        <v>6033.1402474976885</v>
      </c>
      <c r="G40" s="6"/>
      <c r="H40" s="6"/>
    </row>
    <row r="41" spans="1:8" outlineLevel="1" x14ac:dyDescent="0.35">
      <c r="A41" s="6" t="s">
        <v>66</v>
      </c>
      <c r="B41" s="10">
        <f>B39</f>
        <v>-14000</v>
      </c>
      <c r="C41" s="10">
        <f t="shared" ref="C41:F42" si="8">B41+C39</f>
        <v>-9000</v>
      </c>
      <c r="D41" s="10">
        <f t="shared" si="8"/>
        <v>-3520</v>
      </c>
      <c r="E41" s="10">
        <f t="shared" si="8"/>
        <v>1448</v>
      </c>
      <c r="F41" s="10">
        <f t="shared" si="8"/>
        <v>12000</v>
      </c>
      <c r="G41" s="6"/>
      <c r="H41" s="6"/>
    </row>
    <row r="42" spans="1:8" outlineLevel="1" x14ac:dyDescent="0.35">
      <c r="A42" s="6" t="s">
        <v>67</v>
      </c>
      <c r="B42" s="10">
        <f>B40</f>
        <v>-14000</v>
      </c>
      <c r="C42" s="10">
        <f t="shared" si="8"/>
        <v>-9652.173913043478</v>
      </c>
      <c r="D42" s="10">
        <f t="shared" si="8"/>
        <v>-5508.5066162570884</v>
      </c>
      <c r="E42" s="10">
        <f t="shared" si="8"/>
        <v>-2241.9659735349701</v>
      </c>
      <c r="F42" s="10">
        <f t="shared" si="8"/>
        <v>3791.1742739627184</v>
      </c>
      <c r="G42" s="6"/>
      <c r="H42" s="6"/>
    </row>
    <row r="43" spans="1:8" ht="15.65" customHeight="1" x14ac:dyDescent="0.35">
      <c r="A43" s="6"/>
      <c r="B43" s="6"/>
      <c r="C43" s="6"/>
      <c r="D43" s="6"/>
      <c r="E43" s="6"/>
      <c r="F43" s="6"/>
      <c r="G43" s="6"/>
      <c r="H43" s="6"/>
    </row>
    <row r="44" spans="1:8" x14ac:dyDescent="0.35">
      <c r="A44" s="21" t="s">
        <v>24</v>
      </c>
      <c r="B44" s="22">
        <f>SUM(B40:F40)</f>
        <v>3791.1742739627184</v>
      </c>
      <c r="C44" s="25"/>
      <c r="D44" s="21" t="s">
        <v>65</v>
      </c>
      <c r="E44" s="26">
        <v>0.15</v>
      </c>
      <c r="F44" s="6"/>
      <c r="G44" s="6"/>
      <c r="H44" s="6"/>
    </row>
    <row r="45" spans="1:8" x14ac:dyDescent="0.35">
      <c r="A45" s="21" t="s">
        <v>62</v>
      </c>
      <c r="B45" s="23">
        <f>IRR(B39:F39)</f>
        <v>0.26325251341756095</v>
      </c>
      <c r="C45" s="25"/>
      <c r="D45" s="25"/>
      <c r="E45" s="25"/>
      <c r="F45" s="6"/>
      <c r="G45" s="6"/>
      <c r="H45" s="6"/>
    </row>
    <row r="46" spans="1:8" x14ac:dyDescent="0.35">
      <c r="A46" s="21" t="s">
        <v>109</v>
      </c>
      <c r="B46" s="23">
        <f>MIRR(B39:F39,E44,E44)</f>
        <v>0.2210037137994536</v>
      </c>
      <c r="C46" s="25"/>
      <c r="D46" s="25"/>
      <c r="E46" s="25"/>
      <c r="F46" s="6"/>
      <c r="G46" s="6"/>
      <c r="H46" s="6"/>
    </row>
    <row r="47" spans="1:8" x14ac:dyDescent="0.35">
      <c r="A47" s="21" t="s">
        <v>63</v>
      </c>
      <c r="B47" s="24">
        <f>MATCH(0,B41:F41)-1+-INDEX(B41:F41,1,MATCH(0,B41:F41))/INDEX(C39:F39,1,MATCH(0,B41:F41))</f>
        <v>2.7085346215780999</v>
      </c>
      <c r="C47" s="25"/>
      <c r="D47" s="25"/>
      <c r="E47" s="25"/>
      <c r="F47" s="6"/>
      <c r="G47" s="6"/>
      <c r="H47" s="6"/>
    </row>
    <row r="48" spans="1:8" x14ac:dyDescent="0.35">
      <c r="A48" s="21" t="s">
        <v>64</v>
      </c>
      <c r="B48" s="24">
        <f>MATCH(0,B42:F42)-1+-INDEX(B42:F42,1,MATCH(0,B42:F42))/INDEX(C40:F40,1,MATCH(0,B42:F42))</f>
        <v>3.3716084628506442</v>
      </c>
      <c r="C48" s="24">
        <f>MATCH(0,C42:F42)+-INDEX(C42:F42,1,MATCH(0,C42:F42))/INDEX(C40:F40,1,MATCH(0,C42:F42)+1)</f>
        <v>3.3716084628506442</v>
      </c>
      <c r="D48" s="25"/>
      <c r="E48" s="25"/>
      <c r="F48" s="6"/>
      <c r="G48" s="6"/>
      <c r="H48" s="6"/>
    </row>
    <row r="49" spans="1:8" x14ac:dyDescent="0.35">
      <c r="A49" s="6"/>
      <c r="B49" s="6"/>
      <c r="C49" s="6"/>
      <c r="D49" s="6"/>
      <c r="E49" s="6"/>
      <c r="F49" s="6"/>
      <c r="G49" s="6"/>
      <c r="H49" s="6"/>
    </row>
    <row r="50" spans="1:8" x14ac:dyDescent="0.35">
      <c r="A50" s="17" t="s">
        <v>50</v>
      </c>
      <c r="B50" s="17"/>
      <c r="C50" s="17"/>
      <c r="D50" s="17"/>
      <c r="E50" s="17"/>
      <c r="F50" s="17"/>
      <c r="G50" s="17"/>
      <c r="H50" s="17"/>
    </row>
    <row r="51" spans="1:8" x14ac:dyDescent="0.35">
      <c r="A51" s="17" t="s">
        <v>44</v>
      </c>
      <c r="B51" s="17"/>
      <c r="C51" s="18">
        <v>0.2</v>
      </c>
      <c r="D51" s="18">
        <v>0.32</v>
      </c>
      <c r="E51" s="20">
        <v>0.192</v>
      </c>
      <c r="F51" s="20">
        <v>0.1152</v>
      </c>
      <c r="G51" s="20">
        <v>0.1152</v>
      </c>
      <c r="H51" s="20">
        <v>5.7599999999999998E-2</v>
      </c>
    </row>
    <row r="52" spans="1:8" x14ac:dyDescent="0.35">
      <c r="A52" s="17"/>
      <c r="B52" s="17"/>
      <c r="C52" s="17"/>
      <c r="D52" s="17"/>
      <c r="E52" s="17"/>
      <c r="F52" s="17"/>
      <c r="G52" s="17"/>
      <c r="H52" s="17"/>
    </row>
    <row r="53" spans="1:8" x14ac:dyDescent="0.35">
      <c r="A53" s="17" t="s">
        <v>53</v>
      </c>
      <c r="B53" s="17">
        <f>B3+B4</f>
        <v>10000</v>
      </c>
      <c r="C53" s="17">
        <f>B53-C51*$B$53</f>
        <v>8000</v>
      </c>
      <c r="D53" s="17">
        <f t="shared" ref="D53:H53" si="9">C53-D51*$B$53</f>
        <v>4800</v>
      </c>
      <c r="E53" s="17">
        <f t="shared" si="9"/>
        <v>2880</v>
      </c>
      <c r="F53" s="17">
        <f t="shared" si="9"/>
        <v>1728</v>
      </c>
      <c r="G53" s="17">
        <f t="shared" si="9"/>
        <v>576</v>
      </c>
      <c r="H53" s="17">
        <f t="shared" si="9"/>
        <v>0</v>
      </c>
    </row>
    <row r="54" spans="1:8" x14ac:dyDescent="0.35">
      <c r="A54" s="6"/>
      <c r="B54" s="6"/>
      <c r="C54" s="6"/>
      <c r="D54" s="6"/>
      <c r="E54" s="6"/>
      <c r="F54" s="6"/>
      <c r="G54" s="6"/>
      <c r="H54" s="6"/>
    </row>
  </sheetData>
  <pageMargins left="0.7" right="0.7" top="0.75" bottom="0.75" header="0.3" footer="0.3"/>
  <ignoredErrors>
    <ignoredError sqref="C29:F33 C35:E35 C34:E34 C28:E2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50"/>
  <sheetViews>
    <sheetView topLeftCell="A42" zoomScale="130" zoomScaleNormal="130" workbookViewId="0">
      <selection activeCell="H49" sqref="H49"/>
    </sheetView>
  </sheetViews>
  <sheetFormatPr defaultRowHeight="14.5" x14ac:dyDescent="0.35"/>
  <cols>
    <col min="1" max="1" width="24.6328125" customWidth="1"/>
    <col min="2" max="2" width="9.54296875" customWidth="1"/>
  </cols>
  <sheetData>
    <row r="2" spans="1:6" x14ac:dyDescent="0.35">
      <c r="A2" s="17" t="s">
        <v>41</v>
      </c>
      <c r="B2" s="17"/>
      <c r="C2" s="17"/>
    </row>
    <row r="3" spans="1:6" x14ac:dyDescent="0.35">
      <c r="A3" s="17" t="s">
        <v>32</v>
      </c>
      <c r="B3" s="17">
        <v>9500</v>
      </c>
      <c r="C3" s="17"/>
    </row>
    <row r="4" spans="1:6" x14ac:dyDescent="0.35">
      <c r="A4" s="17" t="s">
        <v>33</v>
      </c>
      <c r="B4" s="17">
        <v>500</v>
      </c>
      <c r="C4" s="17"/>
    </row>
    <row r="5" spans="1:6" x14ac:dyDescent="0.35">
      <c r="A5" s="17" t="s">
        <v>52</v>
      </c>
      <c r="B5" s="17">
        <v>2000</v>
      </c>
      <c r="C5" s="17"/>
    </row>
    <row r="6" spans="1:6" x14ac:dyDescent="0.35">
      <c r="A6" s="17"/>
      <c r="B6" s="17"/>
      <c r="C6" s="17"/>
    </row>
    <row r="7" spans="1:6" x14ac:dyDescent="0.35">
      <c r="A7" s="17" t="s">
        <v>34</v>
      </c>
      <c r="B7" s="17">
        <v>4000</v>
      </c>
      <c r="C7" s="17"/>
    </row>
    <row r="8" spans="1:6" x14ac:dyDescent="0.35">
      <c r="A8" s="17" t="s">
        <v>39</v>
      </c>
      <c r="B8" s="17">
        <v>15000</v>
      </c>
      <c r="C8" s="17"/>
    </row>
    <row r="9" spans="1:6" x14ac:dyDescent="0.35">
      <c r="A9" s="17" t="s">
        <v>40</v>
      </c>
      <c r="B9" s="17">
        <v>2</v>
      </c>
      <c r="C9" s="17"/>
    </row>
    <row r="10" spans="1:6" x14ac:dyDescent="0.35">
      <c r="A10" s="17" t="s">
        <v>37</v>
      </c>
      <c r="B10" s="18">
        <v>0.6</v>
      </c>
      <c r="C10" s="17" t="s">
        <v>42</v>
      </c>
    </row>
    <row r="11" spans="1:6" x14ac:dyDescent="0.35">
      <c r="A11" s="17" t="s">
        <v>38</v>
      </c>
      <c r="B11" s="19">
        <v>5000</v>
      </c>
      <c r="C11" s="17"/>
    </row>
    <row r="12" spans="1:6" x14ac:dyDescent="0.35">
      <c r="A12" s="17" t="s">
        <v>47</v>
      </c>
      <c r="B12" s="18">
        <v>0.4</v>
      </c>
      <c r="C12" s="17"/>
    </row>
    <row r="14" spans="1:6" x14ac:dyDescent="0.35">
      <c r="B14" s="190">
        <v>0</v>
      </c>
      <c r="C14" s="190">
        <v>1</v>
      </c>
      <c r="D14" s="190">
        <v>2</v>
      </c>
      <c r="E14" s="190">
        <v>3</v>
      </c>
      <c r="F14" s="190">
        <v>4</v>
      </c>
    </row>
    <row r="16" spans="1:6" x14ac:dyDescent="0.35">
      <c r="A16" s="191" t="s">
        <v>315</v>
      </c>
    </row>
    <row r="17" spans="1:6" x14ac:dyDescent="0.35">
      <c r="A17" t="s">
        <v>322</v>
      </c>
      <c r="B17">
        <f>-B3</f>
        <v>-9500</v>
      </c>
    </row>
    <row r="18" spans="1:6" x14ac:dyDescent="0.35">
      <c r="A18" t="s">
        <v>323</v>
      </c>
      <c r="B18">
        <f>-B4</f>
        <v>-500</v>
      </c>
    </row>
    <row r="19" spans="1:6" x14ac:dyDescent="0.35">
      <c r="A19" t="s">
        <v>324</v>
      </c>
      <c r="B19">
        <f>-B7</f>
        <v>-4000</v>
      </c>
    </row>
    <row r="20" spans="1:6" x14ac:dyDescent="0.35">
      <c r="A20" s="192" t="s">
        <v>299</v>
      </c>
      <c r="B20" s="193">
        <f>SUM(B17:B19)</f>
        <v>-14000</v>
      </c>
      <c r="C20" s="193"/>
      <c r="D20" s="193"/>
      <c r="E20" s="193"/>
      <c r="F20" s="193"/>
    </row>
    <row r="22" spans="1:6" x14ac:dyDescent="0.35">
      <c r="A22" s="191" t="s">
        <v>316</v>
      </c>
    </row>
    <row r="30" spans="1:6" x14ac:dyDescent="0.35">
      <c r="A30" s="191" t="s">
        <v>296</v>
      </c>
    </row>
    <row r="36" spans="1:6" x14ac:dyDescent="0.35">
      <c r="A36" s="60" t="s">
        <v>317</v>
      </c>
    </row>
    <row r="39" spans="1:6" x14ac:dyDescent="0.35">
      <c r="A39" t="s">
        <v>62</v>
      </c>
    </row>
    <row r="40" spans="1:6" x14ac:dyDescent="0.35">
      <c r="A40" t="s">
        <v>24</v>
      </c>
    </row>
    <row r="43" spans="1:6" x14ac:dyDescent="0.35">
      <c r="A43" s="60" t="s">
        <v>318</v>
      </c>
      <c r="B43" s="194"/>
    </row>
    <row r="44" spans="1:6" x14ac:dyDescent="0.35">
      <c r="B44" s="195">
        <v>0</v>
      </c>
      <c r="C44" s="190">
        <v>1</v>
      </c>
      <c r="D44" s="190">
        <v>2</v>
      </c>
      <c r="E44" s="190">
        <v>3</v>
      </c>
      <c r="F44" s="190">
        <v>4</v>
      </c>
    </row>
    <row r="45" spans="1:6" x14ac:dyDescent="0.35">
      <c r="A45" t="s">
        <v>325</v>
      </c>
      <c r="B45">
        <f>B3+B4</f>
        <v>10000</v>
      </c>
      <c r="C45" s="190"/>
      <c r="D45" s="190"/>
      <c r="E45" s="190"/>
      <c r="F45" s="190"/>
    </row>
    <row r="46" spans="1:6" x14ac:dyDescent="0.35">
      <c r="A46" t="s">
        <v>319</v>
      </c>
      <c r="C46">
        <f>B45</f>
        <v>10000</v>
      </c>
      <c r="D46">
        <f>C48</f>
        <v>8000</v>
      </c>
      <c r="E46">
        <f t="shared" ref="E46:F46" si="0">D48</f>
        <v>4800</v>
      </c>
      <c r="F46">
        <f t="shared" si="0"/>
        <v>2880</v>
      </c>
    </row>
    <row r="47" spans="1:6" x14ac:dyDescent="0.35">
      <c r="A47" t="s">
        <v>289</v>
      </c>
      <c r="B47" s="194"/>
      <c r="C47">
        <f>-$B$45*C50</f>
        <v>-2000</v>
      </c>
      <c r="D47">
        <f>-$B$45*D50</f>
        <v>-3200</v>
      </c>
      <c r="E47">
        <f t="shared" ref="E47:F47" si="1">-$B$45*E50</f>
        <v>-1920</v>
      </c>
      <c r="F47">
        <f t="shared" si="1"/>
        <v>-1152</v>
      </c>
    </row>
    <row r="48" spans="1:6" x14ac:dyDescent="0.35">
      <c r="A48" t="s">
        <v>320</v>
      </c>
      <c r="B48" s="194"/>
      <c r="C48">
        <f>C46+C47</f>
        <v>8000</v>
      </c>
      <c r="D48">
        <f t="shared" ref="D48:F48" si="2">D46+D47</f>
        <v>4800</v>
      </c>
      <c r="E48">
        <f t="shared" si="2"/>
        <v>2880</v>
      </c>
      <c r="F48">
        <f t="shared" si="2"/>
        <v>1728</v>
      </c>
    </row>
    <row r="49" spans="1:6" x14ac:dyDescent="0.35">
      <c r="B49" s="194"/>
    </row>
    <row r="50" spans="1:6" x14ac:dyDescent="0.35">
      <c r="A50" t="s">
        <v>321</v>
      </c>
      <c r="B50" s="194"/>
      <c r="C50" s="100">
        <v>0.2</v>
      </c>
      <c r="D50" s="100">
        <v>0.32</v>
      </c>
      <c r="E50" s="133">
        <v>0.192</v>
      </c>
      <c r="F50" s="133">
        <v>0.1152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54"/>
  <sheetViews>
    <sheetView workbookViewId="0">
      <selection activeCell="C47" sqref="C47"/>
    </sheetView>
  </sheetViews>
  <sheetFormatPr defaultRowHeight="14.5" x14ac:dyDescent="0.35"/>
  <cols>
    <col min="2" max="2" width="17.6328125" customWidth="1"/>
    <col min="3" max="3" width="9.54296875" customWidth="1"/>
    <col min="4" max="4" width="9.36328125" bestFit="1" customWidth="1"/>
    <col min="7" max="7" width="12.6328125" customWidth="1"/>
    <col min="9" max="9" width="18.6328125" customWidth="1"/>
  </cols>
  <sheetData>
    <row r="2" spans="2:7" x14ac:dyDescent="0.35">
      <c r="B2" t="s">
        <v>276</v>
      </c>
      <c r="C2">
        <v>9500</v>
      </c>
    </row>
    <row r="3" spans="2:7" x14ac:dyDescent="0.35">
      <c r="B3" t="s">
        <v>277</v>
      </c>
      <c r="C3">
        <v>500</v>
      </c>
    </row>
    <row r="4" spans="2:7" x14ac:dyDescent="0.35">
      <c r="B4" t="s">
        <v>278</v>
      </c>
      <c r="C4">
        <v>4000</v>
      </c>
    </row>
    <row r="5" spans="2:7" x14ac:dyDescent="0.35">
      <c r="B5" t="s">
        <v>269</v>
      </c>
      <c r="C5">
        <v>2</v>
      </c>
    </row>
    <row r="6" spans="2:7" x14ac:dyDescent="0.35">
      <c r="B6" t="s">
        <v>279</v>
      </c>
      <c r="C6">
        <v>15000</v>
      </c>
    </row>
    <row r="7" spans="2:7" x14ac:dyDescent="0.35">
      <c r="B7" t="s">
        <v>284</v>
      </c>
      <c r="C7" s="100">
        <v>0.6</v>
      </c>
      <c r="D7" t="s">
        <v>285</v>
      </c>
    </row>
    <row r="8" spans="2:7" x14ac:dyDescent="0.35">
      <c r="B8" t="s">
        <v>47</v>
      </c>
      <c r="C8" s="100">
        <v>0.4</v>
      </c>
    </row>
    <row r="9" spans="2:7" x14ac:dyDescent="0.35">
      <c r="B9" t="s">
        <v>292</v>
      </c>
      <c r="C9" s="130">
        <v>2000</v>
      </c>
    </row>
    <row r="10" spans="2:7" x14ac:dyDescent="0.35">
      <c r="B10" t="s">
        <v>273</v>
      </c>
      <c r="C10" s="130">
        <v>5000</v>
      </c>
    </row>
    <row r="11" spans="2:7" x14ac:dyDescent="0.35">
      <c r="B11" t="s">
        <v>301</v>
      </c>
      <c r="C11" s="183">
        <v>0.15</v>
      </c>
    </row>
    <row r="13" spans="2:7" x14ac:dyDescent="0.35">
      <c r="B13" s="60" t="s">
        <v>280</v>
      </c>
      <c r="C13" s="60">
        <v>2017</v>
      </c>
      <c r="D13" s="60">
        <v>2018</v>
      </c>
      <c r="E13" s="60">
        <v>2019</v>
      </c>
      <c r="F13" s="60">
        <v>2020</v>
      </c>
      <c r="G13" s="60">
        <v>2021</v>
      </c>
    </row>
    <row r="15" spans="2:7" x14ac:dyDescent="0.35">
      <c r="B15" s="60" t="s">
        <v>281</v>
      </c>
    </row>
    <row r="16" spans="2:7" x14ac:dyDescent="0.35">
      <c r="B16" t="s">
        <v>282</v>
      </c>
      <c r="C16">
        <f>-C2</f>
        <v>-9500</v>
      </c>
    </row>
    <row r="17" spans="2:7" x14ac:dyDescent="0.35">
      <c r="B17" t="s">
        <v>283</v>
      </c>
      <c r="C17">
        <f>-C3</f>
        <v>-500</v>
      </c>
    </row>
    <row r="18" spans="2:7" x14ac:dyDescent="0.35">
      <c r="B18" t="s">
        <v>286</v>
      </c>
      <c r="C18">
        <f>-C4</f>
        <v>-4000</v>
      </c>
    </row>
    <row r="19" spans="2:7" x14ac:dyDescent="0.35">
      <c r="B19" s="60" t="s">
        <v>31</v>
      </c>
      <c r="C19" s="60">
        <f>SUM(C16:C18)</f>
        <v>-14000</v>
      </c>
    </row>
    <row r="21" spans="2:7" x14ac:dyDescent="0.35">
      <c r="B21" s="60" t="s">
        <v>287</v>
      </c>
    </row>
    <row r="22" spans="2:7" x14ac:dyDescent="0.35">
      <c r="B22" t="s">
        <v>36</v>
      </c>
      <c r="D22">
        <f>$C$5*$C$6</f>
        <v>30000</v>
      </c>
      <c r="E22">
        <f t="shared" ref="E22:G22" si="0">$C$5*$C$6</f>
        <v>30000</v>
      </c>
      <c r="F22">
        <f t="shared" si="0"/>
        <v>30000</v>
      </c>
      <c r="G22">
        <f t="shared" si="0"/>
        <v>30000</v>
      </c>
    </row>
    <row r="23" spans="2:7" x14ac:dyDescent="0.35">
      <c r="B23" t="s">
        <v>288</v>
      </c>
      <c r="D23">
        <f>-D22*$C$7</f>
        <v>-18000</v>
      </c>
      <c r="E23">
        <f t="shared" ref="E23:G23" si="1">-E22*$C$7</f>
        <v>-18000</v>
      </c>
      <c r="F23">
        <f t="shared" si="1"/>
        <v>-18000</v>
      </c>
      <c r="G23">
        <f t="shared" si="1"/>
        <v>-18000</v>
      </c>
    </row>
    <row r="24" spans="2:7" x14ac:dyDescent="0.35">
      <c r="B24" t="s">
        <v>273</v>
      </c>
      <c r="D24">
        <f>-$C$10</f>
        <v>-5000</v>
      </c>
      <c r="E24">
        <f t="shared" ref="E24:G24" si="2">-$C$10</f>
        <v>-5000</v>
      </c>
      <c r="F24">
        <f t="shared" si="2"/>
        <v>-5000</v>
      </c>
      <c r="G24">
        <f t="shared" si="2"/>
        <v>-5000</v>
      </c>
    </row>
    <row r="25" spans="2:7" x14ac:dyDescent="0.35">
      <c r="B25" t="s">
        <v>45</v>
      </c>
      <c r="D25">
        <f>SUM(D22:D24)</f>
        <v>7000</v>
      </c>
      <c r="E25">
        <f t="shared" ref="E25:G25" si="3">SUM(E22:E24)</f>
        <v>7000</v>
      </c>
      <c r="F25">
        <f t="shared" si="3"/>
        <v>7000</v>
      </c>
      <c r="G25">
        <f t="shared" si="3"/>
        <v>7000</v>
      </c>
    </row>
    <row r="26" spans="2:7" x14ac:dyDescent="0.35">
      <c r="B26" t="s">
        <v>289</v>
      </c>
      <c r="D26">
        <f>-D53</f>
        <v>-2000</v>
      </c>
      <c r="E26">
        <f t="shared" ref="E26:G26" si="4">-E53</f>
        <v>-3200</v>
      </c>
      <c r="F26">
        <f t="shared" si="4"/>
        <v>-1900</v>
      </c>
      <c r="G26">
        <f t="shared" si="4"/>
        <v>-1200</v>
      </c>
    </row>
    <row r="27" spans="2:7" x14ac:dyDescent="0.35">
      <c r="B27" t="s">
        <v>48</v>
      </c>
      <c r="D27">
        <f>D25+D26</f>
        <v>5000</v>
      </c>
      <c r="E27">
        <f t="shared" ref="E27:G27" si="5">E25+E26</f>
        <v>3800</v>
      </c>
      <c r="F27">
        <f t="shared" si="5"/>
        <v>5100</v>
      </c>
      <c r="G27">
        <f t="shared" si="5"/>
        <v>5800</v>
      </c>
    </row>
    <row r="28" spans="2:7" x14ac:dyDescent="0.35">
      <c r="B28" t="s">
        <v>46</v>
      </c>
      <c r="D28">
        <f>-D27*$C$8</f>
        <v>-2000</v>
      </c>
      <c r="E28">
        <f t="shared" ref="E28:G28" si="6">-E27*$C$8</f>
        <v>-1520</v>
      </c>
      <c r="F28">
        <f>-F27*$C$8</f>
        <v>-2040</v>
      </c>
      <c r="G28">
        <f t="shared" si="6"/>
        <v>-2320</v>
      </c>
    </row>
    <row r="29" spans="2:7" x14ac:dyDescent="0.35">
      <c r="B29" t="s">
        <v>293</v>
      </c>
      <c r="D29">
        <f>D27+D28</f>
        <v>3000</v>
      </c>
      <c r="E29">
        <f t="shared" ref="E29:G29" si="7">E27+E28</f>
        <v>2280</v>
      </c>
      <c r="F29">
        <f t="shared" si="7"/>
        <v>3060</v>
      </c>
      <c r="G29">
        <f t="shared" si="7"/>
        <v>3480</v>
      </c>
    </row>
    <row r="30" spans="2:7" x14ac:dyDescent="0.35">
      <c r="B30" t="s">
        <v>294</v>
      </c>
      <c r="D30">
        <f>D53</f>
        <v>2000</v>
      </c>
      <c r="E30">
        <f t="shared" ref="E30:G30" si="8">E53</f>
        <v>3200</v>
      </c>
      <c r="F30">
        <f t="shared" si="8"/>
        <v>1900</v>
      </c>
      <c r="G30">
        <f t="shared" si="8"/>
        <v>1200</v>
      </c>
    </row>
    <row r="31" spans="2:7" x14ac:dyDescent="0.35">
      <c r="B31" s="60" t="s">
        <v>295</v>
      </c>
      <c r="C31" s="60"/>
      <c r="D31" s="60">
        <f>D29+D30</f>
        <v>5000</v>
      </c>
      <c r="E31" s="60">
        <f t="shared" ref="E31:G31" si="9">E29+E30</f>
        <v>5480</v>
      </c>
      <c r="F31" s="60">
        <f t="shared" si="9"/>
        <v>4960</v>
      </c>
      <c r="G31" s="60">
        <f t="shared" si="9"/>
        <v>4680</v>
      </c>
    </row>
    <row r="33" spans="2:10" x14ac:dyDescent="0.35">
      <c r="B33" s="60" t="s">
        <v>296</v>
      </c>
    </row>
    <row r="34" spans="2:10" x14ac:dyDescent="0.35">
      <c r="B34" t="s">
        <v>56</v>
      </c>
      <c r="G34" s="131">
        <f>C9</f>
        <v>2000</v>
      </c>
    </row>
    <row r="35" spans="2:10" x14ac:dyDescent="0.35">
      <c r="B35" t="s">
        <v>297</v>
      </c>
      <c r="G35" s="131">
        <f>-(G34-G54)*C8</f>
        <v>-120</v>
      </c>
    </row>
    <row r="36" spans="2:10" x14ac:dyDescent="0.35">
      <c r="B36" t="s">
        <v>298</v>
      </c>
      <c r="G36" s="131">
        <f>C4</f>
        <v>4000</v>
      </c>
    </row>
    <row r="37" spans="2:10" x14ac:dyDescent="0.35">
      <c r="B37" s="60" t="s">
        <v>299</v>
      </c>
      <c r="C37" s="60"/>
      <c r="D37" s="60"/>
      <c r="E37" s="60"/>
      <c r="F37" s="60"/>
      <c r="G37" s="182">
        <f>SUM(G34:G36)</f>
        <v>5880</v>
      </c>
    </row>
    <row r="38" spans="2:10" x14ac:dyDescent="0.35">
      <c r="G38" s="131"/>
    </row>
    <row r="39" spans="2:10" x14ac:dyDescent="0.35">
      <c r="B39" s="60" t="s">
        <v>300</v>
      </c>
      <c r="C39" s="60">
        <f>C19+C31+C37</f>
        <v>-14000</v>
      </c>
      <c r="D39" s="60">
        <f t="shared" ref="D39:G39" si="10">D19+D31+D37</f>
        <v>5000</v>
      </c>
      <c r="E39" s="60">
        <f t="shared" si="10"/>
        <v>5480</v>
      </c>
      <c r="F39" s="60">
        <f t="shared" si="10"/>
        <v>4960</v>
      </c>
      <c r="G39" s="60">
        <f t="shared" si="10"/>
        <v>10560</v>
      </c>
    </row>
    <row r="40" spans="2:10" x14ac:dyDescent="0.35">
      <c r="B40" s="185" t="s">
        <v>245</v>
      </c>
      <c r="C40" s="186">
        <f>C39/(1+$C$11)^(C13-$C$13)</f>
        <v>-14000</v>
      </c>
      <c r="D40" s="186">
        <f t="shared" ref="D40:G40" si="11">D39/(1+$C$11)^(D13-$C$13)</f>
        <v>4347.826086956522</v>
      </c>
      <c r="E40" s="186">
        <f t="shared" si="11"/>
        <v>4143.6672967863897</v>
      </c>
      <c r="F40" s="186">
        <f t="shared" si="11"/>
        <v>3261.2805128626624</v>
      </c>
      <c r="G40" s="186">
        <f t="shared" si="11"/>
        <v>6037.7142734624322</v>
      </c>
    </row>
    <row r="41" spans="2:10" x14ac:dyDescent="0.35">
      <c r="B41" s="60" t="s">
        <v>13</v>
      </c>
      <c r="C41" s="185">
        <f>C39</f>
        <v>-14000</v>
      </c>
      <c r="D41" s="185">
        <f>D39+C41</f>
        <v>-9000</v>
      </c>
      <c r="E41" s="185">
        <f t="shared" ref="E41:G41" si="12">E39+D41</f>
        <v>-3520</v>
      </c>
      <c r="F41" s="185">
        <f t="shared" si="12"/>
        <v>1440</v>
      </c>
      <c r="G41" s="185">
        <f t="shared" si="12"/>
        <v>12000</v>
      </c>
    </row>
    <row r="42" spans="2:10" x14ac:dyDescent="0.35">
      <c r="B42" s="185" t="s">
        <v>303</v>
      </c>
      <c r="C42" s="186">
        <f>C41/(1+$C$11)^(C13-$C$13)</f>
        <v>-14000</v>
      </c>
      <c r="D42" s="186">
        <f t="shared" ref="D42:G42" si="13">D41/(1+$C$11)^(D13-$C$13)</f>
        <v>-7826.0869565217399</v>
      </c>
      <c r="E42" s="186">
        <f t="shared" si="13"/>
        <v>-2661.6257088846887</v>
      </c>
      <c r="F42" s="186">
        <f t="shared" si="13"/>
        <v>946.82337470206323</v>
      </c>
      <c r="G42" s="186">
        <f t="shared" si="13"/>
        <v>6861.0389471164008</v>
      </c>
    </row>
    <row r="44" spans="2:10" x14ac:dyDescent="0.35">
      <c r="B44" s="60" t="s">
        <v>62</v>
      </c>
      <c r="C44" s="100">
        <f>IRR(C39:G39)</f>
        <v>0.26322248967449502</v>
      </c>
      <c r="E44" t="s">
        <v>109</v>
      </c>
      <c r="F44" s="100">
        <f>MIRR(C39:G39,C11,15%)</f>
        <v>0.22099194184576088</v>
      </c>
      <c r="G44" t="s">
        <v>302</v>
      </c>
    </row>
    <row r="45" spans="2:10" x14ac:dyDescent="0.35">
      <c r="B45" s="60" t="s">
        <v>24</v>
      </c>
      <c r="C45" s="130">
        <f>NPV(C11,D39:G39)+C39</f>
        <v>3790.4881700680053</v>
      </c>
    </row>
    <row r="46" spans="2:10" x14ac:dyDescent="0.35">
      <c r="B46" t="s">
        <v>63</v>
      </c>
      <c r="C46">
        <f>MATCH(0,D41:G41)-INDEX(D41:G41,1,MATCH(0,D41:G41))/INDEX(D39:G39,1,MATCH(0,D41:G41)+1)</f>
        <v>2.709677419354839</v>
      </c>
      <c r="E46" t="s">
        <v>304</v>
      </c>
      <c r="F46">
        <f>MATCH(0,D41:G41)</f>
        <v>2</v>
      </c>
      <c r="G46" t="s">
        <v>305</v>
      </c>
      <c r="H46">
        <f>-INDEX(D41:G41,1,F46)</f>
        <v>3520</v>
      </c>
      <c r="I46" t="s">
        <v>306</v>
      </c>
      <c r="J46">
        <f>INDEX(D39:G39,1,F46+1)</f>
        <v>4960</v>
      </c>
    </row>
    <row r="47" spans="2:10" x14ac:dyDescent="0.35">
      <c r="B47" t="s">
        <v>308</v>
      </c>
      <c r="C47">
        <f>MATCH(0,D42:G42)-INDEX(D42:G42,1,MATCH(0,D42:G42))/INDEX(D40:G40,1,MATCH(0,D42:G42)+1)</f>
        <v>2.8161290322580643</v>
      </c>
      <c r="E47" t="s">
        <v>307</v>
      </c>
      <c r="F47">
        <f>F46+H46/J46</f>
        <v>2.709677419354839</v>
      </c>
    </row>
    <row r="50" spans="2:7" x14ac:dyDescent="0.35">
      <c r="B50" t="s">
        <v>289</v>
      </c>
    </row>
    <row r="51" spans="2:7" x14ac:dyDescent="0.35">
      <c r="B51" t="s">
        <v>144</v>
      </c>
      <c r="D51" s="100">
        <v>0.2</v>
      </c>
      <c r="E51" s="100">
        <v>0.32</v>
      </c>
      <c r="F51" s="100">
        <v>0.19</v>
      </c>
      <c r="G51" s="100">
        <v>0.12</v>
      </c>
    </row>
    <row r="52" spans="2:7" x14ac:dyDescent="0.35">
      <c r="B52" t="s">
        <v>291</v>
      </c>
      <c r="D52">
        <f>C2+C3</f>
        <v>10000</v>
      </c>
      <c r="E52">
        <f>D54</f>
        <v>8000</v>
      </c>
      <c r="F52">
        <f t="shared" ref="F52:G52" si="14">E54</f>
        <v>4800</v>
      </c>
      <c r="G52">
        <f t="shared" si="14"/>
        <v>2900</v>
      </c>
    </row>
    <row r="53" spans="2:7" x14ac:dyDescent="0.35">
      <c r="B53" t="s">
        <v>289</v>
      </c>
      <c r="D53">
        <f>$D$52*D51</f>
        <v>2000</v>
      </c>
      <c r="E53">
        <f t="shared" ref="E53:G53" si="15">$D$52*E51</f>
        <v>3200</v>
      </c>
      <c r="F53">
        <f t="shared" si="15"/>
        <v>1900</v>
      </c>
      <c r="G53">
        <f t="shared" si="15"/>
        <v>1200</v>
      </c>
    </row>
    <row r="54" spans="2:7" x14ac:dyDescent="0.35">
      <c r="B54" t="s">
        <v>290</v>
      </c>
      <c r="D54">
        <f>D52-D53</f>
        <v>8000</v>
      </c>
      <c r="E54">
        <f t="shared" ref="E54:G54" si="16">E52-E53</f>
        <v>4800</v>
      </c>
      <c r="F54">
        <f t="shared" si="16"/>
        <v>2900</v>
      </c>
      <c r="G54">
        <f t="shared" si="16"/>
        <v>1700</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4"/>
  <sheetViews>
    <sheetView topLeftCell="A30" zoomScale="82" zoomScaleNormal="130" workbookViewId="0">
      <selection activeCell="F5" sqref="F5"/>
    </sheetView>
  </sheetViews>
  <sheetFormatPr defaultRowHeight="14.5" outlineLevelRow="1" x14ac:dyDescent="0.35"/>
  <cols>
    <col min="1" max="1" width="25.90625" customWidth="1"/>
    <col min="2" max="2" width="11.453125" bestFit="1" customWidth="1"/>
    <col min="3" max="3" width="10.54296875" customWidth="1"/>
    <col min="4" max="4" width="10.453125" bestFit="1" customWidth="1"/>
    <col min="5" max="5" width="11.1796875" customWidth="1"/>
    <col min="6" max="6" width="11.453125" bestFit="1" customWidth="1"/>
  </cols>
  <sheetData>
    <row r="1" spans="1:8" x14ac:dyDescent="0.35">
      <c r="A1" s="6"/>
      <c r="B1" s="6"/>
      <c r="C1" s="6"/>
      <c r="D1" s="6"/>
      <c r="E1" s="6"/>
      <c r="F1" s="6"/>
      <c r="G1" s="6"/>
      <c r="H1" s="6"/>
    </row>
    <row r="2" spans="1:8" x14ac:dyDescent="0.35">
      <c r="A2" s="17" t="s">
        <v>41</v>
      </c>
      <c r="B2" s="17"/>
      <c r="C2" s="17"/>
      <c r="D2" s="6"/>
      <c r="E2" s="6"/>
      <c r="F2" s="6"/>
      <c r="G2" s="6"/>
      <c r="H2" s="6"/>
    </row>
    <row r="3" spans="1:8" x14ac:dyDescent="0.35">
      <c r="A3" s="17" t="s">
        <v>32</v>
      </c>
      <c r="B3" s="17">
        <v>9500</v>
      </c>
      <c r="C3" s="17"/>
      <c r="D3" s="6"/>
      <c r="E3" s="6"/>
      <c r="F3" s="6"/>
      <c r="G3" s="6"/>
      <c r="H3" s="6"/>
    </row>
    <row r="4" spans="1:8" x14ac:dyDescent="0.35">
      <c r="A4" s="17" t="s">
        <v>33</v>
      </c>
      <c r="B4" s="17">
        <v>500</v>
      </c>
      <c r="C4" s="17"/>
      <c r="D4" s="6"/>
      <c r="E4" s="6"/>
      <c r="F4" s="6"/>
      <c r="G4" s="6"/>
      <c r="H4" s="6"/>
    </row>
    <row r="5" spans="1:8" x14ac:dyDescent="0.35">
      <c r="A5" s="17" t="s">
        <v>52</v>
      </c>
      <c r="B5" s="17">
        <v>2000</v>
      </c>
      <c r="C5" s="17"/>
      <c r="D5" s="6"/>
      <c r="E5" s="35" t="s">
        <v>85</v>
      </c>
      <c r="F5" s="36">
        <v>0.03</v>
      </c>
      <c r="G5" s="6"/>
      <c r="H5" s="6"/>
    </row>
    <row r="6" spans="1:8" x14ac:dyDescent="0.35">
      <c r="A6" s="17"/>
      <c r="B6" s="17"/>
      <c r="C6" s="17"/>
      <c r="D6" s="6"/>
      <c r="E6" s="6"/>
      <c r="F6" s="6"/>
      <c r="G6" s="6"/>
      <c r="H6" s="6"/>
    </row>
    <row r="7" spans="1:8" x14ac:dyDescent="0.35">
      <c r="A7" s="17" t="s">
        <v>34</v>
      </c>
      <c r="B7" s="17">
        <v>4000</v>
      </c>
      <c r="C7" s="17"/>
      <c r="D7" s="6"/>
      <c r="E7" s="6" t="s">
        <v>86</v>
      </c>
      <c r="F7" s="6"/>
      <c r="G7" s="35"/>
      <c r="H7" s="6"/>
    </row>
    <row r="8" spans="1:8" x14ac:dyDescent="0.35">
      <c r="A8" s="17" t="s">
        <v>39</v>
      </c>
      <c r="B8" s="17">
        <v>15000</v>
      </c>
      <c r="C8" s="17"/>
      <c r="D8" s="6"/>
      <c r="E8" s="6"/>
      <c r="F8" s="6"/>
      <c r="G8" s="6"/>
      <c r="H8" s="6"/>
    </row>
    <row r="9" spans="1:8" x14ac:dyDescent="0.35">
      <c r="A9" s="17" t="s">
        <v>40</v>
      </c>
      <c r="B9" s="17">
        <v>2</v>
      </c>
      <c r="C9" s="17"/>
      <c r="D9" s="6"/>
      <c r="E9" s="6"/>
      <c r="F9" s="6"/>
      <c r="G9" s="6"/>
      <c r="H9" s="6"/>
    </row>
    <row r="10" spans="1:8" x14ac:dyDescent="0.35">
      <c r="A10" s="17" t="s">
        <v>37</v>
      </c>
      <c r="B10" s="18">
        <v>0.6</v>
      </c>
      <c r="C10" s="17" t="s">
        <v>42</v>
      </c>
      <c r="D10" s="6"/>
      <c r="E10" s="6"/>
      <c r="F10" s="6"/>
      <c r="G10" s="6"/>
      <c r="H10" s="6"/>
    </row>
    <row r="11" spans="1:8" x14ac:dyDescent="0.35">
      <c r="A11" s="17" t="s">
        <v>38</v>
      </c>
      <c r="B11" s="19">
        <v>5000</v>
      </c>
      <c r="C11" s="17"/>
      <c r="D11" s="6"/>
      <c r="E11" s="6"/>
      <c r="F11" s="6"/>
      <c r="G11" s="6"/>
      <c r="H11" s="6"/>
    </row>
    <row r="12" spans="1:8" x14ac:dyDescent="0.35">
      <c r="A12" s="17" t="s">
        <v>47</v>
      </c>
      <c r="B12" s="18">
        <v>0.4</v>
      </c>
      <c r="C12" s="17"/>
      <c r="D12" s="6"/>
      <c r="E12" s="6"/>
      <c r="F12" s="6"/>
      <c r="G12" s="6"/>
      <c r="H12" s="6"/>
    </row>
    <row r="13" spans="1:8" x14ac:dyDescent="0.35">
      <c r="A13" s="6"/>
      <c r="B13" s="13"/>
      <c r="C13" s="6"/>
      <c r="D13" s="6"/>
      <c r="E13" s="6"/>
      <c r="F13" s="6"/>
      <c r="G13" s="6"/>
      <c r="H13" s="6"/>
    </row>
    <row r="14" spans="1:8" x14ac:dyDescent="0.35">
      <c r="A14" s="5"/>
      <c r="B14" s="5">
        <v>0</v>
      </c>
      <c r="C14" s="5">
        <v>1</v>
      </c>
      <c r="D14" s="5">
        <v>2</v>
      </c>
      <c r="E14" s="5">
        <v>3</v>
      </c>
      <c r="F14" s="5">
        <v>4</v>
      </c>
      <c r="G14" s="6"/>
      <c r="H14" s="6"/>
    </row>
    <row r="15" spans="1:8" x14ac:dyDescent="0.35">
      <c r="A15" s="15" t="s">
        <v>31</v>
      </c>
      <c r="B15" s="6"/>
      <c r="C15" s="6"/>
      <c r="D15" s="6"/>
      <c r="E15" s="6"/>
      <c r="F15" s="6"/>
      <c r="G15" s="6"/>
      <c r="H15" s="6"/>
    </row>
    <row r="16" spans="1:8" x14ac:dyDescent="0.35">
      <c r="A16" s="6" t="s">
        <v>32</v>
      </c>
      <c r="B16" s="6">
        <f>-B3</f>
        <v>-9500</v>
      </c>
      <c r="C16" s="6"/>
      <c r="D16" s="6"/>
      <c r="E16" s="6"/>
      <c r="F16" s="6"/>
      <c r="G16" s="6"/>
      <c r="H16" s="6"/>
    </row>
    <row r="17" spans="1:8" x14ac:dyDescent="0.35">
      <c r="A17" s="6" t="s">
        <v>33</v>
      </c>
      <c r="B17" s="6">
        <f>-B4</f>
        <v>-500</v>
      </c>
      <c r="C17" s="6"/>
      <c r="D17" s="6"/>
      <c r="E17" s="6"/>
      <c r="F17" s="6"/>
      <c r="G17" s="6"/>
      <c r="H17" s="6"/>
    </row>
    <row r="18" spans="1:8" x14ac:dyDescent="0.35">
      <c r="A18" s="6" t="s">
        <v>34</v>
      </c>
      <c r="B18" s="6">
        <f>-B7</f>
        <v>-4000</v>
      </c>
      <c r="C18" s="6"/>
      <c r="D18" s="6"/>
      <c r="E18" s="6"/>
      <c r="F18" s="6"/>
      <c r="G18" s="6"/>
      <c r="H18" s="6"/>
    </row>
    <row r="19" spans="1:8" x14ac:dyDescent="0.35">
      <c r="A19" s="7" t="s">
        <v>35</v>
      </c>
      <c r="B19" s="6">
        <f>SUM(B16:B18)</f>
        <v>-14000</v>
      </c>
      <c r="C19" s="6"/>
      <c r="D19" s="6"/>
      <c r="E19" s="6"/>
      <c r="F19" s="6"/>
      <c r="G19" s="6"/>
      <c r="H19" s="6"/>
    </row>
    <row r="20" spans="1:8" ht="11.5" customHeight="1" x14ac:dyDescent="0.35">
      <c r="A20" s="6"/>
      <c r="B20" s="6"/>
      <c r="C20" s="6"/>
      <c r="D20" s="6"/>
      <c r="E20" s="6"/>
      <c r="F20" s="6"/>
      <c r="G20" s="6"/>
      <c r="H20" s="6"/>
    </row>
    <row r="21" spans="1:8" x14ac:dyDescent="0.35">
      <c r="A21" s="15" t="s">
        <v>59</v>
      </c>
      <c r="B21" s="6"/>
      <c r="C21" s="6"/>
      <c r="D21" s="6"/>
      <c r="E21" s="6"/>
      <c r="F21" s="6"/>
      <c r="G21" s="6"/>
      <c r="H21" s="6"/>
    </row>
    <row r="22" spans="1:8" x14ac:dyDescent="0.35">
      <c r="A22" s="35" t="s">
        <v>36</v>
      </c>
      <c r="B22" s="6"/>
      <c r="C22" s="32">
        <f>$B$8*$B$9*(1+$F$5)</f>
        <v>30900</v>
      </c>
      <c r="D22" s="32">
        <f>C22*(1+$F$5)</f>
        <v>31827</v>
      </c>
      <c r="E22" s="32">
        <f t="shared" ref="E22:F22" si="0">D22*(1+$F$5)</f>
        <v>32781.81</v>
      </c>
      <c r="F22" s="32">
        <f t="shared" si="0"/>
        <v>33765.264299999995</v>
      </c>
      <c r="G22" s="6"/>
      <c r="H22" s="6"/>
    </row>
    <row r="23" spans="1:8" x14ac:dyDescent="0.35">
      <c r="A23" s="37" t="s">
        <v>37</v>
      </c>
      <c r="B23" s="6"/>
      <c r="C23" s="32">
        <f>-C22*$B$10</f>
        <v>-18540</v>
      </c>
      <c r="D23" s="32">
        <f t="shared" ref="D23:F23" si="1">-D22*$B$10</f>
        <v>-19096.2</v>
      </c>
      <c r="E23" s="32">
        <f t="shared" si="1"/>
        <v>-19669.085999999999</v>
      </c>
      <c r="F23" s="32">
        <f t="shared" si="1"/>
        <v>-20259.158579999996</v>
      </c>
      <c r="G23" s="6"/>
      <c r="H23" s="6"/>
    </row>
    <row r="24" spans="1:8" x14ac:dyDescent="0.35">
      <c r="A24" s="38" t="s">
        <v>38</v>
      </c>
      <c r="B24" s="16"/>
      <c r="C24" s="33">
        <f>-B11*(1+$F$5)</f>
        <v>-5150</v>
      </c>
      <c r="D24" s="33">
        <f>C24*(1+$F$5)</f>
        <v>-5304.5</v>
      </c>
      <c r="E24" s="33">
        <f t="shared" ref="E24:F24" si="2">D24*(1+$F$5)</f>
        <v>-5463.6350000000002</v>
      </c>
      <c r="F24" s="33">
        <f t="shared" si="2"/>
        <v>-5627.5440500000004</v>
      </c>
      <c r="G24" s="6"/>
      <c r="H24" s="6"/>
    </row>
    <row r="25" spans="1:8" x14ac:dyDescent="0.35">
      <c r="A25" s="7" t="s">
        <v>45</v>
      </c>
      <c r="B25" s="6"/>
      <c r="C25" s="34">
        <f>SUM(C22:C24)</f>
        <v>7210</v>
      </c>
      <c r="D25" s="34">
        <f>SUM(D22:D24)</f>
        <v>7426.2999999999993</v>
      </c>
      <c r="E25" s="34">
        <f>SUM(E22:E24)</f>
        <v>7649.0889999999981</v>
      </c>
      <c r="F25" s="34">
        <f>SUM(F22:F24)</f>
        <v>7878.5616699999991</v>
      </c>
      <c r="G25" s="6"/>
      <c r="H25" s="6"/>
    </row>
    <row r="26" spans="1:8" x14ac:dyDescent="0.35">
      <c r="A26" s="16" t="s">
        <v>43</v>
      </c>
      <c r="B26" s="16"/>
      <c r="C26" s="33">
        <f>($B$16+$B$17)*C51</f>
        <v>-2000</v>
      </c>
      <c r="D26" s="33">
        <f>($B$16+$B$17)*D51</f>
        <v>-3200</v>
      </c>
      <c r="E26" s="33">
        <f>($B$16+$B$17)*E51</f>
        <v>-1920</v>
      </c>
      <c r="F26" s="33">
        <f>($B$16+$B$17)*F51</f>
        <v>-1152</v>
      </c>
      <c r="G26" s="6"/>
      <c r="H26" s="6"/>
    </row>
    <row r="27" spans="1:8" x14ac:dyDescent="0.35">
      <c r="A27" s="7" t="s">
        <v>48</v>
      </c>
      <c r="B27" s="6"/>
      <c r="C27" s="34">
        <f>C25+C26</f>
        <v>5210</v>
      </c>
      <c r="D27" s="34">
        <f t="shared" ref="D27:F27" si="3">D25+D26</f>
        <v>4226.2999999999993</v>
      </c>
      <c r="E27" s="34">
        <f t="shared" si="3"/>
        <v>5729.0889999999981</v>
      </c>
      <c r="F27" s="34">
        <f t="shared" si="3"/>
        <v>6726.5616699999991</v>
      </c>
      <c r="G27" s="6"/>
      <c r="H27" s="6"/>
    </row>
    <row r="28" spans="1:8" x14ac:dyDescent="0.35">
      <c r="A28" s="16" t="s">
        <v>46</v>
      </c>
      <c r="B28" s="16"/>
      <c r="C28" s="33">
        <f>-$B$12*C27</f>
        <v>-2084</v>
      </c>
      <c r="D28" s="33">
        <f>-$B$12*D27</f>
        <v>-1690.5199999999998</v>
      </c>
      <c r="E28" s="33">
        <f>-$B$12*E27</f>
        <v>-2291.6355999999992</v>
      </c>
      <c r="F28" s="33">
        <f>-$B$12*F27</f>
        <v>-2690.6246679999999</v>
      </c>
      <c r="G28" s="6"/>
      <c r="H28" s="6"/>
    </row>
    <row r="29" spans="1:8" x14ac:dyDescent="0.35">
      <c r="A29" s="7" t="s">
        <v>49</v>
      </c>
      <c r="B29" s="6"/>
      <c r="C29" s="34">
        <f>C27+C28</f>
        <v>3126</v>
      </c>
      <c r="D29" s="34">
        <f t="shared" ref="D29:F29" si="4">D27+D28</f>
        <v>2535.7799999999997</v>
      </c>
      <c r="E29" s="34">
        <f t="shared" si="4"/>
        <v>3437.453399999999</v>
      </c>
      <c r="F29" s="34">
        <f t="shared" si="4"/>
        <v>4035.9370019999992</v>
      </c>
      <c r="G29" s="6"/>
      <c r="H29" s="6"/>
    </row>
    <row r="30" spans="1:8" x14ac:dyDescent="0.35">
      <c r="A30" s="16" t="s">
        <v>55</v>
      </c>
      <c r="B30" s="16"/>
      <c r="C30" s="33">
        <f>-C26</f>
        <v>2000</v>
      </c>
      <c r="D30" s="33">
        <f t="shared" ref="D30:F30" si="5">-D26</f>
        <v>3200</v>
      </c>
      <c r="E30" s="33">
        <f t="shared" si="5"/>
        <v>1920</v>
      </c>
      <c r="F30" s="33">
        <f t="shared" si="5"/>
        <v>1152</v>
      </c>
      <c r="G30" s="6"/>
      <c r="H30" s="6"/>
    </row>
    <row r="31" spans="1:8" x14ac:dyDescent="0.35">
      <c r="A31" s="7" t="s">
        <v>58</v>
      </c>
      <c r="B31" s="6"/>
      <c r="C31" s="34">
        <f>C29+C30</f>
        <v>5126</v>
      </c>
      <c r="D31" s="34">
        <f t="shared" ref="D31:F31" si="6">D29+D30</f>
        <v>5735.78</v>
      </c>
      <c r="E31" s="34">
        <f t="shared" si="6"/>
        <v>5357.4533999999985</v>
      </c>
      <c r="F31" s="34">
        <f t="shared" si="6"/>
        <v>5187.9370019999988</v>
      </c>
      <c r="G31" s="6"/>
      <c r="H31" s="6"/>
    </row>
    <row r="32" spans="1:8" ht="6.65" customHeight="1" x14ac:dyDescent="0.35">
      <c r="A32" s="6"/>
      <c r="B32" s="6"/>
      <c r="C32" s="6"/>
      <c r="D32" s="6"/>
      <c r="E32" s="6"/>
      <c r="F32" s="6"/>
      <c r="G32" s="6"/>
      <c r="H32" s="6"/>
    </row>
    <row r="33" spans="1:8" x14ac:dyDescent="0.35">
      <c r="A33" s="15" t="s">
        <v>51</v>
      </c>
      <c r="B33" s="6"/>
      <c r="C33" s="6"/>
      <c r="D33" s="6"/>
      <c r="E33" s="6"/>
      <c r="F33" s="6"/>
      <c r="G33" s="6"/>
      <c r="H33" s="6"/>
    </row>
    <row r="34" spans="1:8" x14ac:dyDescent="0.35">
      <c r="A34" s="6" t="s">
        <v>56</v>
      </c>
      <c r="B34" s="6"/>
      <c r="C34" s="6"/>
      <c r="D34" s="6"/>
      <c r="E34" s="6"/>
      <c r="F34" s="6">
        <f>B5</f>
        <v>2000</v>
      </c>
      <c r="G34" s="6"/>
      <c r="H34" s="6"/>
    </row>
    <row r="35" spans="1:8" x14ac:dyDescent="0.35">
      <c r="A35" s="8" t="s">
        <v>54</v>
      </c>
      <c r="B35" s="6"/>
      <c r="C35" s="6"/>
      <c r="D35" s="6"/>
      <c r="E35" s="6"/>
      <c r="F35" s="6">
        <f>-(B5-F53)*B12</f>
        <v>-108.80000000000001</v>
      </c>
      <c r="G35" s="6"/>
      <c r="H35" s="6"/>
    </row>
    <row r="36" spans="1:8" x14ac:dyDescent="0.35">
      <c r="A36" s="16" t="s">
        <v>57</v>
      </c>
      <c r="B36" s="16"/>
      <c r="C36" s="16"/>
      <c r="D36" s="16"/>
      <c r="E36" s="16"/>
      <c r="F36" s="16">
        <f>B7</f>
        <v>4000</v>
      </c>
      <c r="G36" s="6"/>
      <c r="H36" s="6"/>
    </row>
    <row r="37" spans="1:8" x14ac:dyDescent="0.35">
      <c r="A37" s="7" t="s">
        <v>60</v>
      </c>
      <c r="B37" s="6"/>
      <c r="C37" s="6"/>
      <c r="D37" s="6"/>
      <c r="E37" s="6"/>
      <c r="F37" s="7">
        <f>SUM(F34:F36)</f>
        <v>5891.2</v>
      </c>
      <c r="G37" s="6"/>
      <c r="H37" s="6"/>
    </row>
    <row r="38" spans="1:8" ht="9.15" customHeight="1" x14ac:dyDescent="0.35">
      <c r="A38" s="6"/>
      <c r="B38" s="6"/>
      <c r="C38" s="6"/>
      <c r="D38" s="6"/>
      <c r="E38" s="6"/>
      <c r="F38" s="6"/>
      <c r="G38" s="6"/>
      <c r="H38" s="6"/>
    </row>
    <row r="39" spans="1:8" x14ac:dyDescent="0.35">
      <c r="A39" s="27" t="s">
        <v>61</v>
      </c>
      <c r="B39" s="28">
        <f>B19</f>
        <v>-14000</v>
      </c>
      <c r="C39" s="28">
        <f>C31</f>
        <v>5126</v>
      </c>
      <c r="D39" s="28">
        <f t="shared" ref="D39:E39" si="7">D31</f>
        <v>5735.78</v>
      </c>
      <c r="E39" s="28">
        <f t="shared" si="7"/>
        <v>5357.4533999999985</v>
      </c>
      <c r="F39" s="28">
        <f>F31+F37</f>
        <v>11079.137001999999</v>
      </c>
      <c r="G39" s="6"/>
      <c r="H39" s="6"/>
    </row>
    <row r="40" spans="1:8" hidden="1" outlineLevel="1" x14ac:dyDescent="0.35">
      <c r="A40" s="7" t="s">
        <v>29</v>
      </c>
      <c r="B40" s="9">
        <f>B39/(1+$E$44)^B14</f>
        <v>-14000</v>
      </c>
      <c r="C40" s="9">
        <f>C39/(1+$E$44)^C14</f>
        <v>4457.391304347826</v>
      </c>
      <c r="D40" s="9">
        <f>D39/(1+$E$44)^D14</f>
        <v>4337.0737240075623</v>
      </c>
      <c r="E40" s="9">
        <f>E39/(1+$E$44)^E14</f>
        <v>3522.6125749979456</v>
      </c>
      <c r="F40" s="9">
        <f>F39/(1+$E$44)^F14</f>
        <v>6334.5325392633695</v>
      </c>
      <c r="G40" s="6"/>
      <c r="H40" s="6"/>
    </row>
    <row r="41" spans="1:8" hidden="1" outlineLevel="1" x14ac:dyDescent="0.35">
      <c r="A41" s="6" t="s">
        <v>66</v>
      </c>
      <c r="B41" s="10">
        <f>B39</f>
        <v>-14000</v>
      </c>
      <c r="C41" s="10">
        <f t="shared" ref="C41:F42" si="8">B41+C39</f>
        <v>-8874</v>
      </c>
      <c r="D41" s="10">
        <f t="shared" si="8"/>
        <v>-3138.2200000000003</v>
      </c>
      <c r="E41" s="10">
        <f t="shared" si="8"/>
        <v>2219.2333999999983</v>
      </c>
      <c r="F41" s="10">
        <f t="shared" si="8"/>
        <v>13298.370401999997</v>
      </c>
      <c r="G41" s="6"/>
      <c r="H41" s="6"/>
    </row>
    <row r="42" spans="1:8" hidden="1" outlineLevel="1" x14ac:dyDescent="0.35">
      <c r="A42" s="6" t="s">
        <v>67</v>
      </c>
      <c r="B42" s="10">
        <f>B40</f>
        <v>-14000</v>
      </c>
      <c r="C42" s="10">
        <f t="shared" si="8"/>
        <v>-9542.608695652174</v>
      </c>
      <c r="D42" s="10">
        <f t="shared" si="8"/>
        <v>-5205.5349716446117</v>
      </c>
      <c r="E42" s="10">
        <f t="shared" si="8"/>
        <v>-1682.9223966466661</v>
      </c>
      <c r="F42" s="10">
        <f t="shared" si="8"/>
        <v>4651.6101426167033</v>
      </c>
      <c r="G42" s="6"/>
      <c r="H42" s="6"/>
    </row>
    <row r="43" spans="1:8" ht="15.65" customHeight="1" collapsed="1" x14ac:dyDescent="0.35">
      <c r="A43" s="6"/>
      <c r="B43" s="6"/>
      <c r="C43" s="6"/>
      <c r="D43" s="6"/>
      <c r="E43" s="6"/>
      <c r="F43" s="6"/>
      <c r="G43" s="6"/>
      <c r="H43" s="6"/>
    </row>
    <row r="44" spans="1:8" x14ac:dyDescent="0.35">
      <c r="A44" s="21" t="s">
        <v>24</v>
      </c>
      <c r="B44" s="22">
        <f>SUM(B40:F40)</f>
        <v>4651.6101426167033</v>
      </c>
      <c r="C44" s="25"/>
      <c r="D44" s="21" t="s">
        <v>65</v>
      </c>
      <c r="E44" s="26">
        <v>0.15</v>
      </c>
      <c r="F44" s="6"/>
      <c r="G44" s="6"/>
      <c r="H44" s="6"/>
    </row>
    <row r="45" spans="1:8" x14ac:dyDescent="0.35">
      <c r="A45" s="21" t="s">
        <v>62</v>
      </c>
      <c r="B45" s="23">
        <f>IRR(B39:F39)</f>
        <v>0.28689517342712478</v>
      </c>
      <c r="C45" s="25"/>
      <c r="D45" s="25" t="s">
        <v>89</v>
      </c>
      <c r="E45" s="25"/>
      <c r="F45" s="6"/>
      <c r="G45" s="6"/>
      <c r="H45" s="6"/>
    </row>
    <row r="46" spans="1:8" x14ac:dyDescent="0.35">
      <c r="A46" s="21" t="s">
        <v>109</v>
      </c>
      <c r="B46" s="23">
        <f>MIRR(B39:F39,E44,E44)</f>
        <v>0.23550615626078963</v>
      </c>
      <c r="C46" s="25"/>
      <c r="D46" s="25" t="s">
        <v>90</v>
      </c>
      <c r="E46" s="25"/>
      <c r="F46" s="6"/>
      <c r="G46" s="6"/>
      <c r="H46" s="6"/>
    </row>
    <row r="47" spans="1:8" x14ac:dyDescent="0.35">
      <c r="A47" s="21" t="s">
        <v>63</v>
      </c>
      <c r="B47" s="24">
        <f>MATCH(0,B41:F41)-1+-INDEX(B41:F41,1,MATCH(0,B41:F41))/INDEX(C39:F39,1,MATCH(0,B41:F41))</f>
        <v>2.585767110918781</v>
      </c>
      <c r="C47" s="25"/>
      <c r="D47" s="25" t="s">
        <v>91</v>
      </c>
      <c r="E47" s="25"/>
      <c r="F47" s="6"/>
      <c r="G47" s="6"/>
      <c r="H47" s="6"/>
    </row>
    <row r="48" spans="1:8" x14ac:dyDescent="0.35">
      <c r="A48" s="21" t="s">
        <v>64</v>
      </c>
      <c r="B48" s="24">
        <f>MATCH(0,B42:F42)-1+-INDEX(B42:F42,1,MATCH(0,B42:F42))/INDEX(C40:F40,1,MATCH(0,B42:F42))</f>
        <v>3.2656742839689272</v>
      </c>
      <c r="C48" s="25"/>
      <c r="D48" s="25"/>
      <c r="E48" s="25"/>
      <c r="F48" s="6"/>
      <c r="G48" s="6"/>
      <c r="H48" s="6"/>
    </row>
    <row r="49" spans="1:8" x14ac:dyDescent="0.35">
      <c r="A49" s="6"/>
      <c r="B49" s="6"/>
      <c r="C49" s="6"/>
      <c r="D49" s="6"/>
      <c r="E49" s="6"/>
      <c r="F49" s="6"/>
      <c r="G49" s="6"/>
      <c r="H49" s="6"/>
    </row>
    <row r="50" spans="1:8" x14ac:dyDescent="0.35">
      <c r="A50" s="17" t="s">
        <v>50</v>
      </c>
      <c r="B50" s="17"/>
      <c r="C50" s="17"/>
      <c r="D50" s="17"/>
      <c r="E50" s="17"/>
      <c r="F50" s="17"/>
      <c r="G50" s="17"/>
      <c r="H50" s="17"/>
    </row>
    <row r="51" spans="1:8" x14ac:dyDescent="0.35">
      <c r="A51" s="17" t="s">
        <v>44</v>
      </c>
      <c r="B51" s="17"/>
      <c r="C51" s="18">
        <v>0.2</v>
      </c>
      <c r="D51" s="18">
        <v>0.32</v>
      </c>
      <c r="E51" s="20">
        <v>0.192</v>
      </c>
      <c r="F51" s="20">
        <v>0.1152</v>
      </c>
      <c r="G51" s="20">
        <v>0.1152</v>
      </c>
      <c r="H51" s="20">
        <v>5.7599999999999998E-2</v>
      </c>
    </row>
    <row r="52" spans="1:8" x14ac:dyDescent="0.35">
      <c r="A52" s="17"/>
      <c r="B52" s="17"/>
      <c r="C52" s="17"/>
      <c r="D52" s="17"/>
      <c r="E52" s="17"/>
      <c r="F52" s="17"/>
      <c r="G52" s="17"/>
      <c r="H52" s="17"/>
    </row>
    <row r="53" spans="1:8" x14ac:dyDescent="0.35">
      <c r="A53" s="17" t="s">
        <v>53</v>
      </c>
      <c r="B53" s="17">
        <f>B3+B4</f>
        <v>10000</v>
      </c>
      <c r="C53" s="17">
        <f>B53-C51*$B$53</f>
        <v>8000</v>
      </c>
      <c r="D53" s="17">
        <f t="shared" ref="D53:H53" si="9">C53-D51*$B$53</f>
        <v>4800</v>
      </c>
      <c r="E53" s="17">
        <f t="shared" si="9"/>
        <v>2880</v>
      </c>
      <c r="F53" s="17">
        <f t="shared" si="9"/>
        <v>1728</v>
      </c>
      <c r="G53" s="17">
        <f t="shared" si="9"/>
        <v>576</v>
      </c>
      <c r="H53" s="17">
        <f t="shared" si="9"/>
        <v>0</v>
      </c>
    </row>
    <row r="54" spans="1:8" x14ac:dyDescent="0.35">
      <c r="A54" s="6"/>
      <c r="B54" s="6"/>
      <c r="C54" s="6"/>
      <c r="D54" s="6"/>
      <c r="E54" s="6"/>
      <c r="F54" s="6"/>
      <c r="G54" s="6"/>
      <c r="H54"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2"/>
  <sheetViews>
    <sheetView topLeftCell="A33" zoomScale="115" zoomScaleNormal="115" workbookViewId="0">
      <selection activeCell="A22" sqref="A22:G48"/>
    </sheetView>
  </sheetViews>
  <sheetFormatPr defaultRowHeight="14.5" outlineLevelRow="1" x14ac:dyDescent="0.35"/>
  <cols>
    <col min="1" max="1" width="25.90625" customWidth="1"/>
    <col min="2" max="2" width="11.453125" bestFit="1" customWidth="1"/>
    <col min="3" max="3" width="10.54296875" customWidth="1"/>
    <col min="4" max="4" width="14.1796875" customWidth="1"/>
    <col min="5" max="5" width="11.1796875" customWidth="1"/>
    <col min="6" max="6" width="11.453125" bestFit="1" customWidth="1"/>
    <col min="7" max="7" width="11.36328125" customWidth="1"/>
  </cols>
  <sheetData>
    <row r="1" spans="1:8" x14ac:dyDescent="0.35">
      <c r="A1" s="6"/>
      <c r="B1" s="6"/>
      <c r="C1" s="6"/>
      <c r="D1" s="6"/>
      <c r="E1" s="6"/>
      <c r="F1" s="6"/>
      <c r="G1" s="6"/>
      <c r="H1" s="6"/>
    </row>
    <row r="2" spans="1:8" x14ac:dyDescent="0.35">
      <c r="A2" s="17" t="s">
        <v>41</v>
      </c>
      <c r="B2" s="17"/>
      <c r="C2" s="17"/>
      <c r="D2" s="6"/>
      <c r="E2" s="6"/>
      <c r="F2" s="6"/>
      <c r="G2" s="6"/>
      <c r="H2" s="6"/>
    </row>
    <row r="3" spans="1:8" x14ac:dyDescent="0.35">
      <c r="A3" s="17"/>
      <c r="B3" s="17"/>
      <c r="C3" s="17"/>
      <c r="D3" s="6"/>
      <c r="E3" s="6"/>
      <c r="F3" s="6"/>
      <c r="G3" s="6"/>
      <c r="H3" s="6"/>
    </row>
    <row r="4" spans="1:8" x14ac:dyDescent="0.35">
      <c r="A4" s="17" t="s">
        <v>70</v>
      </c>
      <c r="B4" s="17">
        <v>7900</v>
      </c>
      <c r="C4" s="17"/>
      <c r="D4" s="6"/>
      <c r="E4" s="6"/>
      <c r="F4" s="6"/>
      <c r="G4" s="6"/>
      <c r="H4" s="6"/>
    </row>
    <row r="5" spans="1:8" x14ac:dyDescent="0.35">
      <c r="A5" s="17" t="s">
        <v>75</v>
      </c>
      <c r="B5" s="17">
        <v>10</v>
      </c>
      <c r="C5" s="17"/>
      <c r="D5" s="6" t="s">
        <v>234</v>
      </c>
      <c r="E5" s="6">
        <f>B7-5*B6</f>
        <v>400</v>
      </c>
      <c r="F5" s="6"/>
      <c r="G5" s="6"/>
      <c r="H5" s="6"/>
    </row>
    <row r="6" spans="1:8" x14ac:dyDescent="0.35">
      <c r="A6" s="17" t="s">
        <v>71</v>
      </c>
      <c r="B6" s="17">
        <v>500</v>
      </c>
      <c r="C6" s="17"/>
      <c r="D6" s="6" t="s">
        <v>235</v>
      </c>
      <c r="E6" s="6">
        <v>400</v>
      </c>
      <c r="F6" s="6"/>
      <c r="G6" s="6"/>
      <c r="H6" s="6"/>
    </row>
    <row r="7" spans="1:8" x14ac:dyDescent="0.35">
      <c r="A7" s="17" t="s">
        <v>74</v>
      </c>
      <c r="B7" s="17">
        <f>B4-B5*B6</f>
        <v>2900</v>
      </c>
      <c r="C7" s="17"/>
      <c r="D7" s="6" t="s">
        <v>236</v>
      </c>
      <c r="E7" s="6">
        <f>E6-E5</f>
        <v>0</v>
      </c>
      <c r="F7" s="6"/>
      <c r="G7" s="6"/>
      <c r="H7" s="6"/>
    </row>
    <row r="8" spans="1:8" x14ac:dyDescent="0.35">
      <c r="A8" s="17" t="s">
        <v>79</v>
      </c>
      <c r="B8" s="17">
        <v>1600</v>
      </c>
      <c r="C8" s="17"/>
      <c r="F8" s="6"/>
      <c r="G8" s="6"/>
      <c r="H8" s="6"/>
    </row>
    <row r="9" spans="1:8" x14ac:dyDescent="0.35">
      <c r="A9" s="17" t="s">
        <v>52</v>
      </c>
      <c r="B9" s="17">
        <v>400</v>
      </c>
      <c r="C9" s="17"/>
      <c r="D9" s="6"/>
      <c r="F9" s="6"/>
      <c r="G9" s="6"/>
      <c r="H9" s="6"/>
    </row>
    <row r="10" spans="1:8" x14ac:dyDescent="0.35">
      <c r="A10" s="17"/>
      <c r="B10" s="17"/>
      <c r="C10" s="17"/>
      <c r="D10" s="6"/>
      <c r="E10" s="6"/>
      <c r="F10" s="6"/>
      <c r="G10" s="6"/>
      <c r="H10" s="6"/>
    </row>
    <row r="11" spans="1:8" x14ac:dyDescent="0.35">
      <c r="A11" s="17" t="s">
        <v>69</v>
      </c>
      <c r="B11" s="17">
        <v>12000</v>
      </c>
      <c r="C11" s="17"/>
      <c r="D11" s="6" t="s">
        <v>233</v>
      </c>
      <c r="E11" s="6">
        <f>B8-B7</f>
        <v>-1300</v>
      </c>
      <c r="F11" s="6"/>
      <c r="G11" s="6"/>
      <c r="H11" s="6"/>
    </row>
    <row r="12" spans="1:8" x14ac:dyDescent="0.35">
      <c r="A12" s="17" t="s">
        <v>33</v>
      </c>
      <c r="B12" s="17">
        <v>0</v>
      </c>
      <c r="C12" s="17"/>
      <c r="D12" s="6" t="s">
        <v>274</v>
      </c>
      <c r="E12" s="6">
        <f>-E11*B20</f>
        <v>520</v>
      </c>
      <c r="F12" s="6"/>
      <c r="G12" s="6"/>
      <c r="H12" s="6"/>
    </row>
    <row r="13" spans="1:8" x14ac:dyDescent="0.35">
      <c r="A13" s="17" t="s">
        <v>52</v>
      </c>
      <c r="B13" s="17">
        <v>2000</v>
      </c>
      <c r="C13" s="17"/>
      <c r="D13" s="6"/>
      <c r="E13" s="6"/>
      <c r="F13" s="6"/>
      <c r="G13" s="6"/>
      <c r="H13" s="6"/>
    </row>
    <row r="14" spans="1:8" x14ac:dyDescent="0.35">
      <c r="A14" s="17"/>
      <c r="B14" s="17"/>
      <c r="C14" s="17"/>
      <c r="D14" s="6"/>
      <c r="E14" s="6"/>
      <c r="F14" s="6"/>
      <c r="G14" s="6"/>
      <c r="H14" s="6"/>
    </row>
    <row r="15" spans="1:8" x14ac:dyDescent="0.35">
      <c r="A15" s="17" t="s">
        <v>34</v>
      </c>
      <c r="B15" s="17">
        <v>1400</v>
      </c>
      <c r="C15" s="17"/>
      <c r="D15" s="6"/>
      <c r="E15" s="6"/>
      <c r="F15" s="6"/>
      <c r="G15" s="6"/>
      <c r="H15" s="6"/>
    </row>
    <row r="16" spans="1:8" x14ac:dyDescent="0.35">
      <c r="A16" s="17" t="s">
        <v>76</v>
      </c>
      <c r="B16" s="17">
        <f>8000-4500</f>
        <v>3500</v>
      </c>
      <c r="C16" s="17"/>
      <c r="D16" s="6"/>
      <c r="E16" s="6"/>
      <c r="F16" s="6"/>
      <c r="G16" s="6"/>
      <c r="H16" s="6"/>
    </row>
    <row r="17" spans="1:8" x14ac:dyDescent="0.35">
      <c r="A17" s="17"/>
      <c r="B17" s="17"/>
      <c r="C17" s="17"/>
      <c r="D17" s="6"/>
      <c r="E17" s="6"/>
      <c r="F17" s="6"/>
      <c r="G17" s="6"/>
      <c r="H17" s="6"/>
    </row>
    <row r="18" spans="1:8" x14ac:dyDescent="0.35">
      <c r="A18" s="17"/>
      <c r="B18" s="18"/>
      <c r="C18" s="17"/>
      <c r="D18" s="6"/>
      <c r="E18" s="6"/>
      <c r="F18" s="6"/>
      <c r="G18" s="6"/>
      <c r="H18" s="6"/>
    </row>
    <row r="19" spans="1:8" x14ac:dyDescent="0.35">
      <c r="A19" s="17"/>
      <c r="B19" s="19"/>
      <c r="C19" s="17"/>
      <c r="D19" s="6"/>
      <c r="E19" s="6"/>
      <c r="F19" s="6"/>
      <c r="G19" s="6"/>
      <c r="H19" s="6"/>
    </row>
    <row r="20" spans="1:8" x14ac:dyDescent="0.35">
      <c r="A20" s="17" t="s">
        <v>47</v>
      </c>
      <c r="B20" s="18">
        <v>0.4</v>
      </c>
      <c r="C20" s="17"/>
      <c r="D20" s="6"/>
      <c r="E20" s="6"/>
      <c r="F20" s="6"/>
      <c r="G20" s="6"/>
      <c r="H20" s="6"/>
    </row>
    <row r="21" spans="1:8" x14ac:dyDescent="0.35">
      <c r="A21" s="6"/>
      <c r="B21" s="13"/>
      <c r="C21" s="6"/>
      <c r="D21" s="6"/>
      <c r="E21" s="6"/>
      <c r="F21" s="6"/>
      <c r="G21" s="6"/>
      <c r="H21" s="6"/>
    </row>
    <row r="22" spans="1:8" x14ac:dyDescent="0.35">
      <c r="A22" s="5"/>
      <c r="B22" s="5">
        <v>0</v>
      </c>
      <c r="C22" s="5">
        <v>1</v>
      </c>
      <c r="D22" s="5">
        <v>2</v>
      </c>
      <c r="E22" s="5">
        <v>3</v>
      </c>
      <c r="F22" s="5">
        <v>4</v>
      </c>
      <c r="G22" s="5">
        <v>5</v>
      </c>
      <c r="H22" s="6"/>
    </row>
    <row r="23" spans="1:8" x14ac:dyDescent="0.35">
      <c r="A23" s="15" t="s">
        <v>31</v>
      </c>
      <c r="B23" s="6"/>
      <c r="C23" s="6"/>
      <c r="D23" s="6"/>
      <c r="E23" s="6"/>
      <c r="F23" s="6"/>
      <c r="G23" s="6"/>
      <c r="H23" s="6"/>
    </row>
    <row r="24" spans="1:8" x14ac:dyDescent="0.35">
      <c r="A24" s="6" t="s">
        <v>32</v>
      </c>
      <c r="B24" s="6">
        <f>-B11</f>
        <v>-12000</v>
      </c>
      <c r="C24" s="6"/>
      <c r="D24" s="6"/>
      <c r="E24" s="6"/>
      <c r="F24" s="6"/>
      <c r="G24" s="6"/>
      <c r="H24" s="6"/>
    </row>
    <row r="25" spans="1:8" x14ac:dyDescent="0.35">
      <c r="A25" s="6" t="s">
        <v>33</v>
      </c>
      <c r="B25" s="6">
        <f>-B12</f>
        <v>0</v>
      </c>
      <c r="C25" s="6"/>
      <c r="D25" s="6"/>
      <c r="E25" s="6"/>
      <c r="F25" s="6"/>
      <c r="G25" s="6"/>
      <c r="H25" s="6"/>
    </row>
    <row r="26" spans="1:8" x14ac:dyDescent="0.35">
      <c r="A26" s="6" t="s">
        <v>34</v>
      </c>
      <c r="B26" s="6">
        <f>-B15</f>
        <v>-1400</v>
      </c>
      <c r="C26" s="6"/>
      <c r="D26" s="6"/>
      <c r="E26" s="6"/>
      <c r="F26" s="6"/>
      <c r="G26" s="6"/>
      <c r="H26" s="6"/>
    </row>
    <row r="27" spans="1:8" x14ac:dyDescent="0.35">
      <c r="A27" s="6" t="s">
        <v>78</v>
      </c>
      <c r="B27" s="6">
        <f>B8</f>
        <v>1600</v>
      </c>
      <c r="C27" s="6"/>
      <c r="D27" s="6"/>
      <c r="E27" s="6"/>
      <c r="F27" s="6"/>
      <c r="G27" s="6"/>
      <c r="H27" s="6"/>
    </row>
    <row r="28" spans="1:8" x14ac:dyDescent="0.35">
      <c r="A28" s="8" t="s">
        <v>54</v>
      </c>
      <c r="B28" s="6">
        <f>-(B8-B7)*B20</f>
        <v>520</v>
      </c>
      <c r="C28" s="6"/>
      <c r="D28" s="6"/>
      <c r="E28" s="6"/>
      <c r="F28" s="6"/>
      <c r="G28" s="6"/>
      <c r="H28" s="6"/>
    </row>
    <row r="29" spans="1:8" x14ac:dyDescent="0.35">
      <c r="A29" s="7" t="s">
        <v>35</v>
      </c>
      <c r="B29" s="6">
        <f>SUM(B24:B28)</f>
        <v>-11280</v>
      </c>
      <c r="C29" s="6"/>
      <c r="D29" s="6"/>
      <c r="E29" s="6"/>
      <c r="F29" s="6"/>
      <c r="G29" s="6"/>
      <c r="H29" s="6"/>
    </row>
    <row r="30" spans="1:8" ht="11.5" customHeight="1" x14ac:dyDescent="0.35">
      <c r="A30" s="6"/>
      <c r="B30" s="6"/>
      <c r="C30" s="6"/>
      <c r="D30" s="6"/>
      <c r="E30" s="6"/>
      <c r="F30" s="6"/>
      <c r="G30" s="6"/>
      <c r="H30" s="6"/>
    </row>
    <row r="31" spans="1:8" x14ac:dyDescent="0.35">
      <c r="A31" s="15" t="s">
        <v>59</v>
      </c>
      <c r="B31" s="6"/>
      <c r="C31" s="6"/>
      <c r="D31" s="6"/>
      <c r="E31" s="6"/>
      <c r="F31" s="6"/>
      <c r="G31" s="6"/>
      <c r="H31" s="6"/>
    </row>
    <row r="32" spans="1:8" x14ac:dyDescent="0.35">
      <c r="A32" s="6" t="s">
        <v>77</v>
      </c>
      <c r="B32" s="6"/>
      <c r="C32" s="6">
        <f>$B$16</f>
        <v>3500</v>
      </c>
      <c r="D32" s="6">
        <f t="shared" ref="D32:G32" si="0">$B$16</f>
        <v>3500</v>
      </c>
      <c r="E32" s="6">
        <f t="shared" si="0"/>
        <v>3500</v>
      </c>
      <c r="F32" s="6">
        <f t="shared" si="0"/>
        <v>3500</v>
      </c>
      <c r="G32" s="6">
        <f t="shared" si="0"/>
        <v>3500</v>
      </c>
      <c r="H32" s="6"/>
    </row>
    <row r="33" spans="1:8" x14ac:dyDescent="0.35">
      <c r="A33" s="16" t="s">
        <v>80</v>
      </c>
      <c r="B33" s="16"/>
      <c r="C33" s="16">
        <f>$B$6-$B$11*C60</f>
        <v>-3499.6</v>
      </c>
      <c r="D33" s="16">
        <f>$B$6-$B$11*D60</f>
        <v>-4834</v>
      </c>
      <c r="E33" s="16">
        <f>$B$6-$B$11*E60</f>
        <v>-1277.2</v>
      </c>
      <c r="F33" s="16">
        <f>$B$6-$B$11*F60</f>
        <v>-389.20000000000005</v>
      </c>
      <c r="G33" s="16">
        <f>$B$6-$B$11*G60</f>
        <v>500</v>
      </c>
      <c r="H33" s="6"/>
    </row>
    <row r="34" spans="1:8" x14ac:dyDescent="0.35">
      <c r="A34" s="7" t="s">
        <v>81</v>
      </c>
      <c r="B34" s="6"/>
      <c r="C34" s="7">
        <f>C32+C33</f>
        <v>0.40000000000009095</v>
      </c>
      <c r="D34" s="206">
        <f t="shared" ref="D34:G34" si="1">D32+D33</f>
        <v>-1334</v>
      </c>
      <c r="E34" s="7">
        <f t="shared" si="1"/>
        <v>2222.8000000000002</v>
      </c>
      <c r="F34" s="7">
        <f t="shared" si="1"/>
        <v>3110.8</v>
      </c>
      <c r="G34" s="7">
        <f t="shared" si="1"/>
        <v>4000</v>
      </c>
      <c r="H34" s="6"/>
    </row>
    <row r="35" spans="1:8" x14ac:dyDescent="0.35">
      <c r="A35" s="16" t="s">
        <v>46</v>
      </c>
      <c r="B35" s="16"/>
      <c r="C35" s="16">
        <f>-$B$20*C34</f>
        <v>-0.16000000000003639</v>
      </c>
      <c r="D35" s="16">
        <f>-$B$20*D34</f>
        <v>533.6</v>
      </c>
      <c r="E35" s="16">
        <f>-$B$20*E34</f>
        <v>-889.12000000000012</v>
      </c>
      <c r="F35" s="16">
        <f>-$B$20*F34</f>
        <v>-1244.3200000000002</v>
      </c>
      <c r="G35" s="16">
        <f>-$B$20*G34</f>
        <v>-1600</v>
      </c>
      <c r="H35" s="6"/>
    </row>
    <row r="36" spans="1:8" x14ac:dyDescent="0.35">
      <c r="A36" s="7" t="s">
        <v>49</v>
      </c>
      <c r="B36" s="6"/>
      <c r="C36" s="7">
        <f>C34+C35</f>
        <v>0.24000000000005456</v>
      </c>
      <c r="D36" s="7">
        <f t="shared" ref="D36:F36" si="2">D34+D35</f>
        <v>-800.4</v>
      </c>
      <c r="E36" s="7">
        <f t="shared" si="2"/>
        <v>1333.68</v>
      </c>
      <c r="F36" s="7">
        <f t="shared" si="2"/>
        <v>1866.48</v>
      </c>
      <c r="G36" s="7">
        <f>G34+G35</f>
        <v>2400</v>
      </c>
      <c r="H36" s="6"/>
    </row>
    <row r="37" spans="1:8" x14ac:dyDescent="0.35">
      <c r="A37" s="16" t="s">
        <v>55</v>
      </c>
      <c r="B37" s="16"/>
      <c r="C37" s="16">
        <f>-C33</f>
        <v>3499.6</v>
      </c>
      <c r="D37" s="16">
        <f>-D33</f>
        <v>4834</v>
      </c>
      <c r="E37" s="16">
        <f>-E33</f>
        <v>1277.2</v>
      </c>
      <c r="F37" s="16">
        <f>-F33</f>
        <v>389.20000000000005</v>
      </c>
      <c r="G37" s="16">
        <f t="shared" ref="G37" si="3">-G33</f>
        <v>-500</v>
      </c>
      <c r="H37" s="6"/>
    </row>
    <row r="38" spans="1:8" x14ac:dyDescent="0.35">
      <c r="A38" s="7" t="s">
        <v>58</v>
      </c>
      <c r="B38" s="6"/>
      <c r="C38" s="7">
        <f>C36+C37</f>
        <v>3499.84</v>
      </c>
      <c r="D38" s="7">
        <f>D36+D37</f>
        <v>4033.6</v>
      </c>
      <c r="E38" s="7">
        <f t="shared" ref="E38:F38" si="4">E36+E37</f>
        <v>2610.88</v>
      </c>
      <c r="F38" s="7">
        <f t="shared" si="4"/>
        <v>2255.6800000000003</v>
      </c>
      <c r="G38" s="7">
        <f>G36+G37</f>
        <v>1900</v>
      </c>
      <c r="H38" s="6"/>
    </row>
    <row r="39" spans="1:8" ht="6.65" customHeight="1" x14ac:dyDescent="0.35">
      <c r="A39" s="6"/>
      <c r="B39" s="6"/>
      <c r="C39" s="6"/>
      <c r="D39" s="6"/>
      <c r="E39" s="6"/>
      <c r="F39" s="6"/>
      <c r="G39" s="6"/>
      <c r="H39" s="6"/>
    </row>
    <row r="40" spans="1:8" x14ac:dyDescent="0.35">
      <c r="A40" s="15" t="s">
        <v>51</v>
      </c>
      <c r="B40" s="6"/>
      <c r="C40" s="6"/>
      <c r="D40" s="6"/>
      <c r="E40" s="6"/>
      <c r="F40" s="6"/>
      <c r="G40" s="6"/>
      <c r="H40" s="6"/>
    </row>
    <row r="41" spans="1:8" x14ac:dyDescent="0.35">
      <c r="A41" s="6" t="s">
        <v>82</v>
      </c>
      <c r="B41" s="6"/>
      <c r="C41" s="6"/>
      <c r="D41" s="6"/>
      <c r="E41" s="6"/>
      <c r="F41" s="6"/>
      <c r="G41" s="6">
        <f>-B9</f>
        <v>-400</v>
      </c>
      <c r="H41" s="6"/>
    </row>
    <row r="42" spans="1:8" x14ac:dyDescent="0.35">
      <c r="A42" s="6" t="s">
        <v>83</v>
      </c>
      <c r="B42" s="6"/>
      <c r="C42" s="6"/>
      <c r="D42" s="6"/>
      <c r="E42" s="6"/>
      <c r="F42" s="6"/>
      <c r="G42" s="6">
        <f>(B9-(B7-G22*B6))*B20</f>
        <v>0</v>
      </c>
      <c r="H42" s="6"/>
    </row>
    <row r="43" spans="1:8" x14ac:dyDescent="0.35">
      <c r="A43" s="6" t="s">
        <v>56</v>
      </c>
      <c r="B43" s="6"/>
      <c r="C43" s="6"/>
      <c r="D43" s="6"/>
      <c r="E43" s="6"/>
      <c r="F43" s="6"/>
      <c r="G43" s="6">
        <f>B13</f>
        <v>2000</v>
      </c>
      <c r="H43" s="6"/>
    </row>
    <row r="44" spans="1:8" x14ac:dyDescent="0.35">
      <c r="A44" s="8" t="s">
        <v>54</v>
      </c>
      <c r="B44" s="6"/>
      <c r="C44" s="6"/>
      <c r="D44" s="6"/>
      <c r="E44" s="6"/>
      <c r="F44" s="6"/>
      <c r="G44" s="6">
        <f>-(B13-G62)*B20</f>
        <v>-800</v>
      </c>
      <c r="H44" s="6"/>
    </row>
    <row r="45" spans="1:8" x14ac:dyDescent="0.35">
      <c r="A45" s="16" t="s">
        <v>57</v>
      </c>
      <c r="B45" s="16"/>
      <c r="C45" s="16"/>
      <c r="D45" s="16"/>
      <c r="E45" s="16"/>
      <c r="F45" s="16"/>
      <c r="G45" s="16">
        <f>B15</f>
        <v>1400</v>
      </c>
      <c r="H45" s="6"/>
    </row>
    <row r="46" spans="1:8" x14ac:dyDescent="0.35">
      <c r="A46" s="7" t="s">
        <v>60</v>
      </c>
      <c r="B46" s="6"/>
      <c r="C46" s="6"/>
      <c r="D46" s="6"/>
      <c r="E46" s="6"/>
      <c r="F46" s="6"/>
      <c r="G46" s="7">
        <f>SUM(G41:G45)</f>
        <v>2200</v>
      </c>
      <c r="H46" s="6"/>
    </row>
    <row r="47" spans="1:8" ht="9.15" customHeight="1" x14ac:dyDescent="0.35">
      <c r="A47" s="6"/>
      <c r="B47" s="6"/>
      <c r="C47" s="6"/>
      <c r="D47" s="6"/>
      <c r="E47" s="6"/>
      <c r="F47" s="6"/>
      <c r="G47" s="6"/>
      <c r="H47" s="6"/>
    </row>
    <row r="48" spans="1:8" x14ac:dyDescent="0.35">
      <c r="A48" s="27" t="s">
        <v>61</v>
      </c>
      <c r="B48" s="28">
        <f>B29</f>
        <v>-11280</v>
      </c>
      <c r="C48" s="28">
        <f>C38</f>
        <v>3499.84</v>
      </c>
      <c r="D48" s="28">
        <f t="shared" ref="D48:E48" si="5">D38</f>
        <v>4033.6</v>
      </c>
      <c r="E48" s="28">
        <f t="shared" si="5"/>
        <v>2610.88</v>
      </c>
      <c r="F48" s="28">
        <f t="shared" ref="F48" si="6">F38</f>
        <v>2255.6800000000003</v>
      </c>
      <c r="G48" s="28">
        <f>G38+G46</f>
        <v>4100</v>
      </c>
      <c r="H48" s="6"/>
    </row>
    <row r="49" spans="1:8" hidden="1" outlineLevel="1" x14ac:dyDescent="0.35">
      <c r="A49" s="7" t="s">
        <v>29</v>
      </c>
      <c r="B49" s="9">
        <f>B48/(1+$E$53)^B22</f>
        <v>-11280</v>
      </c>
      <c r="C49" s="9">
        <f>C48/(1+$E$53)^C22</f>
        <v>3043.3391304347829</v>
      </c>
      <c r="D49" s="9">
        <f>D48/(1+$E$53)^D22</f>
        <v>3049.9810964083181</v>
      </c>
      <c r="E49" s="9">
        <f>E48/(1+$E$53)^E22</f>
        <v>1716.6959809320299</v>
      </c>
      <c r="F49" s="9">
        <f t="shared" ref="F49" si="7">F48/(1+$E$53)^F22</f>
        <v>1289.6923610192937</v>
      </c>
      <c r="G49" s="9">
        <f>G48/(1+$E$53)^G22</f>
        <v>2038.4246147229885</v>
      </c>
      <c r="H49" s="6"/>
    </row>
    <row r="50" spans="1:8" hidden="1" outlineLevel="1" x14ac:dyDescent="0.35">
      <c r="A50" s="6" t="s">
        <v>66</v>
      </c>
      <c r="B50" s="10">
        <f>B48</f>
        <v>-11280</v>
      </c>
      <c r="C50" s="10">
        <f t="shared" ref="C50:E51" si="8">B50+C48</f>
        <v>-7780.16</v>
      </c>
      <c r="D50" s="10">
        <f t="shared" si="8"/>
        <v>-3746.56</v>
      </c>
      <c r="E50" s="10">
        <f t="shared" si="8"/>
        <v>-1135.6799999999998</v>
      </c>
      <c r="F50" s="10">
        <f t="shared" ref="F50:G50" si="9">E50+F48</f>
        <v>1120.0000000000005</v>
      </c>
      <c r="G50" s="10">
        <f t="shared" si="9"/>
        <v>5220</v>
      </c>
      <c r="H50" s="6"/>
    </row>
    <row r="51" spans="1:8" hidden="1" outlineLevel="1" x14ac:dyDescent="0.35">
      <c r="A51" s="6" t="s">
        <v>67</v>
      </c>
      <c r="B51" s="10">
        <f>B49</f>
        <v>-11280</v>
      </c>
      <c r="C51" s="10">
        <f t="shared" si="8"/>
        <v>-8236.6608695652176</v>
      </c>
      <c r="D51" s="10">
        <f t="shared" si="8"/>
        <v>-5186.6797731568995</v>
      </c>
      <c r="E51" s="10">
        <f t="shared" si="8"/>
        <v>-3469.9837922248698</v>
      </c>
      <c r="F51" s="10">
        <f t="shared" ref="F51:G51" si="10">E51+F49</f>
        <v>-2180.2914312055764</v>
      </c>
      <c r="G51" s="10">
        <f t="shared" si="10"/>
        <v>-141.86681648258786</v>
      </c>
      <c r="H51" s="6"/>
    </row>
    <row r="52" spans="1:8" ht="15.65" customHeight="1" collapsed="1" x14ac:dyDescent="0.35">
      <c r="A52" s="6"/>
      <c r="B52" s="6"/>
      <c r="C52" s="6"/>
      <c r="D52" s="6"/>
      <c r="E52" s="6"/>
      <c r="F52" s="6"/>
      <c r="G52" s="6"/>
      <c r="H52" s="6"/>
    </row>
    <row r="53" spans="1:8" x14ac:dyDescent="0.35">
      <c r="A53" s="21" t="s">
        <v>24</v>
      </c>
      <c r="B53" s="137">
        <f>SUM(B49:G49)</f>
        <v>-141.86681648258786</v>
      </c>
      <c r="C53" s="25"/>
      <c r="D53" s="21" t="s">
        <v>65</v>
      </c>
      <c r="E53" s="26">
        <v>0.15</v>
      </c>
      <c r="F53" s="6"/>
      <c r="G53" s="6"/>
      <c r="H53" s="6"/>
    </row>
    <row r="54" spans="1:8" x14ac:dyDescent="0.35">
      <c r="A54" s="21" t="s">
        <v>62</v>
      </c>
      <c r="B54" s="23">
        <f>IRR(B48:G48)</f>
        <v>0.14455443541860991</v>
      </c>
      <c r="C54" s="25"/>
      <c r="D54" s="25"/>
      <c r="E54" s="25"/>
      <c r="F54" s="6"/>
      <c r="G54" s="6"/>
      <c r="H54" s="6"/>
    </row>
    <row r="55" spans="1:8" x14ac:dyDescent="0.35">
      <c r="A55" s="21" t="s">
        <v>109</v>
      </c>
      <c r="B55" s="23">
        <f>MIRR(B48:F48,E53,E53)</f>
        <v>8.9876871308842254E-2</v>
      </c>
      <c r="C55" s="25"/>
      <c r="D55" s="25"/>
      <c r="E55" s="25"/>
      <c r="F55" s="6"/>
      <c r="G55" s="6"/>
      <c r="H55" s="6"/>
    </row>
    <row r="56" spans="1:8" x14ac:dyDescent="0.35">
      <c r="A56" s="21" t="s">
        <v>63</v>
      </c>
      <c r="B56" s="24">
        <f>MATCH(0,B50:F50)-1+-INDEX(B50:F50,1,MATCH(0,B50:F50))/INDEX(C48:F48,1,MATCH(0,B50:F50))</f>
        <v>3.5034756703078447</v>
      </c>
      <c r="C56" s="25"/>
      <c r="D56" s="25"/>
      <c r="E56" s="25"/>
      <c r="F56" s="6"/>
      <c r="G56" s="6"/>
      <c r="H56" s="6"/>
    </row>
    <row r="57" spans="1:8" x14ac:dyDescent="0.35">
      <c r="A57" s="21" t="s">
        <v>64</v>
      </c>
      <c r="B57" s="24" t="e">
        <f>MATCH(0,B51:G51)-1+-INDEX(B51:G51,1,MATCH(0,B51:G51))/INDEX(C49:G49,1,MATCH(0,B51:G51))</f>
        <v>#REF!</v>
      </c>
      <c r="C57" s="25" t="s">
        <v>84</v>
      </c>
      <c r="D57" s="25"/>
      <c r="E57" s="25"/>
      <c r="F57" s="6"/>
      <c r="G57" s="6"/>
      <c r="H57" s="6"/>
    </row>
    <row r="58" spans="1:8" x14ac:dyDescent="0.35">
      <c r="A58" s="6"/>
      <c r="B58" s="6"/>
      <c r="C58" s="6"/>
      <c r="D58" s="6"/>
      <c r="E58" s="6"/>
      <c r="F58" s="6"/>
      <c r="G58" s="6"/>
      <c r="H58" s="6"/>
    </row>
    <row r="59" spans="1:8" x14ac:dyDescent="0.35">
      <c r="A59" s="17" t="s">
        <v>50</v>
      </c>
      <c r="B59" s="17"/>
      <c r="C59" s="17"/>
      <c r="D59" s="17"/>
      <c r="E59" s="17"/>
      <c r="F59" s="17"/>
      <c r="G59" s="17"/>
      <c r="H59" s="17"/>
    </row>
    <row r="60" spans="1:8" x14ac:dyDescent="0.35">
      <c r="A60" s="17" t="s">
        <v>72</v>
      </c>
      <c r="B60" s="17"/>
      <c r="C60" s="20">
        <v>0.33329999999999999</v>
      </c>
      <c r="D60" s="20">
        <v>0.44450000000000001</v>
      </c>
      <c r="E60" s="20">
        <v>0.14810000000000001</v>
      </c>
      <c r="F60" s="20">
        <v>7.4099999999999999E-2</v>
      </c>
      <c r="G60" s="20">
        <v>0</v>
      </c>
      <c r="H60" s="20"/>
    </row>
    <row r="61" spans="1:8" x14ac:dyDescent="0.35">
      <c r="A61" s="17"/>
      <c r="B61" s="17"/>
      <c r="C61" s="17"/>
      <c r="D61" s="17"/>
      <c r="E61" s="17"/>
      <c r="F61" s="17"/>
      <c r="G61" s="17"/>
      <c r="H61" s="17"/>
    </row>
    <row r="62" spans="1:8" x14ac:dyDescent="0.35">
      <c r="A62" s="17" t="s">
        <v>73</v>
      </c>
      <c r="B62" s="17">
        <f>B11+B12</f>
        <v>12000</v>
      </c>
      <c r="C62" s="17">
        <f>B62-C60*$B$62</f>
        <v>8000.4</v>
      </c>
      <c r="D62" s="17">
        <f>C62-D60*$B$62</f>
        <v>2666.3999999999996</v>
      </c>
      <c r="E62" s="17">
        <f>D62-E60*$B$62</f>
        <v>889.19999999999959</v>
      </c>
      <c r="F62" s="30">
        <f>E62-F60*$B$62</f>
        <v>0</v>
      </c>
      <c r="G62" s="30">
        <f>F62-G60*$B$62</f>
        <v>0</v>
      </c>
      <c r="H62" s="30"/>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0"/>
  <sheetViews>
    <sheetView tabSelected="1" topLeftCell="A22" workbookViewId="0">
      <selection activeCell="E8" sqref="E8"/>
    </sheetView>
  </sheetViews>
  <sheetFormatPr defaultRowHeight="14.5" outlineLevelRow="1" x14ac:dyDescent="0.35"/>
  <cols>
    <col min="1" max="1" width="25.90625" customWidth="1"/>
    <col min="2" max="2" width="11.453125" bestFit="1" customWidth="1"/>
    <col min="3" max="3" width="10.54296875" customWidth="1"/>
    <col min="4" max="4" width="12.1796875" bestFit="1" customWidth="1"/>
    <col min="5" max="5" width="11.1796875" customWidth="1"/>
    <col min="6" max="6" width="12.1796875" bestFit="1" customWidth="1"/>
    <col min="7" max="7" width="11.36328125" customWidth="1"/>
  </cols>
  <sheetData>
    <row r="1" spans="1:8" x14ac:dyDescent="0.35">
      <c r="A1" s="6"/>
      <c r="B1" s="6"/>
      <c r="C1" s="6"/>
      <c r="D1" s="6"/>
      <c r="E1" s="6"/>
      <c r="F1" s="6"/>
      <c r="G1" s="6"/>
      <c r="H1" s="6"/>
    </row>
    <row r="2" spans="1:8" x14ac:dyDescent="0.35">
      <c r="A2" s="17" t="s">
        <v>41</v>
      </c>
      <c r="B2" s="17"/>
      <c r="C2" s="17"/>
      <c r="D2" s="6"/>
      <c r="E2" s="6"/>
      <c r="F2" s="6"/>
      <c r="G2" s="6"/>
      <c r="H2" s="6"/>
    </row>
    <row r="3" spans="1:8" x14ac:dyDescent="0.35">
      <c r="A3" s="17"/>
      <c r="B3" s="17"/>
      <c r="C3" s="17"/>
      <c r="D3" s="6"/>
      <c r="E3" s="6"/>
      <c r="F3" s="6"/>
      <c r="G3" s="6"/>
      <c r="H3" s="6"/>
    </row>
    <row r="4" spans="1:8" x14ac:dyDescent="0.35">
      <c r="A4" s="17" t="s">
        <v>70</v>
      </c>
      <c r="B4" s="17">
        <v>7900</v>
      </c>
      <c r="C4" s="17"/>
      <c r="D4" s="6"/>
      <c r="E4" s="6"/>
      <c r="F4" s="6"/>
      <c r="G4" s="6"/>
      <c r="H4" s="6"/>
    </row>
    <row r="5" spans="1:8" x14ac:dyDescent="0.35">
      <c r="A5" s="17" t="s">
        <v>75</v>
      </c>
      <c r="B5" s="17">
        <v>10</v>
      </c>
      <c r="C5" s="17"/>
      <c r="D5" s="6"/>
      <c r="E5" s="6"/>
      <c r="F5" s="6"/>
      <c r="G5" s="6"/>
      <c r="H5" s="6"/>
    </row>
    <row r="6" spans="1:8" x14ac:dyDescent="0.35">
      <c r="A6" s="17" t="s">
        <v>71</v>
      </c>
      <c r="B6" s="17">
        <v>500</v>
      </c>
      <c r="C6" s="17"/>
      <c r="D6" s="6"/>
      <c r="E6" s="6"/>
      <c r="F6" s="6"/>
      <c r="G6" s="6"/>
      <c r="H6" s="6"/>
    </row>
    <row r="7" spans="1:8" x14ac:dyDescent="0.35">
      <c r="A7" s="17" t="s">
        <v>74</v>
      </c>
      <c r="B7" s="17">
        <f>B4-B5*B6</f>
        <v>2900</v>
      </c>
      <c r="C7" s="17"/>
      <c r="D7" s="6"/>
      <c r="E7" s="6"/>
      <c r="F7" s="6"/>
      <c r="G7" s="6"/>
      <c r="H7" s="6"/>
    </row>
    <row r="8" spans="1:8" x14ac:dyDescent="0.35">
      <c r="A8" s="17" t="s">
        <v>79</v>
      </c>
      <c r="B8" s="17">
        <v>1600</v>
      </c>
      <c r="C8" s="17"/>
      <c r="D8" s="6"/>
      <c r="E8" s="6"/>
      <c r="F8" s="6"/>
      <c r="G8" s="6"/>
      <c r="H8" s="6"/>
    </row>
    <row r="9" spans="1:8" x14ac:dyDescent="0.35">
      <c r="A9" s="17" t="s">
        <v>52</v>
      </c>
      <c r="B9" s="17">
        <v>400</v>
      </c>
      <c r="C9" s="17"/>
      <c r="D9" s="6"/>
      <c r="E9" s="6" t="s">
        <v>87</v>
      </c>
      <c r="F9" s="6"/>
      <c r="G9" s="6"/>
      <c r="H9" s="6"/>
    </row>
    <row r="10" spans="1:8" x14ac:dyDescent="0.35">
      <c r="A10" s="17"/>
      <c r="B10" s="17"/>
      <c r="C10" s="17"/>
      <c r="D10" s="6"/>
      <c r="E10" s="6" t="s">
        <v>88</v>
      </c>
      <c r="F10" s="6"/>
      <c r="G10" s="6"/>
      <c r="H10" s="6"/>
    </row>
    <row r="11" spans="1:8" x14ac:dyDescent="0.35">
      <c r="A11" s="17" t="s">
        <v>69</v>
      </c>
      <c r="B11" s="17">
        <v>12000</v>
      </c>
      <c r="C11" s="17"/>
      <c r="D11" s="6"/>
      <c r="E11" s="6"/>
      <c r="F11" s="6"/>
      <c r="G11" s="6"/>
      <c r="H11" s="6"/>
    </row>
    <row r="12" spans="1:8" x14ac:dyDescent="0.35">
      <c r="A12" s="17" t="s">
        <v>33</v>
      </c>
      <c r="B12" s="17">
        <v>0</v>
      </c>
      <c r="C12" s="17"/>
      <c r="D12" s="6"/>
      <c r="E12" s="35" t="s">
        <v>85</v>
      </c>
      <c r="F12" s="36">
        <v>0.03</v>
      </c>
      <c r="G12" s="6"/>
      <c r="H12" s="6"/>
    </row>
    <row r="13" spans="1:8" x14ac:dyDescent="0.35">
      <c r="A13" s="17" t="s">
        <v>52</v>
      </c>
      <c r="B13" s="17">
        <v>2000</v>
      </c>
      <c r="C13" s="17"/>
      <c r="D13" s="6"/>
      <c r="E13" s="6"/>
      <c r="F13" s="6"/>
      <c r="G13" s="6"/>
      <c r="H13" s="6"/>
    </row>
    <row r="14" spans="1:8" x14ac:dyDescent="0.35">
      <c r="A14" s="17"/>
      <c r="B14" s="17"/>
      <c r="C14" s="17"/>
      <c r="D14" s="6"/>
      <c r="E14" s="6" t="s">
        <v>86</v>
      </c>
      <c r="F14" s="6"/>
      <c r="G14" s="35"/>
      <c r="H14" s="6"/>
    </row>
    <row r="15" spans="1:8" x14ac:dyDescent="0.35">
      <c r="A15" s="17" t="s">
        <v>34</v>
      </c>
      <c r="B15" s="17">
        <v>1400</v>
      </c>
      <c r="C15" s="17"/>
      <c r="D15" s="6"/>
      <c r="E15" s="6"/>
      <c r="F15" s="6"/>
      <c r="G15" s="6"/>
      <c r="H15" s="6"/>
    </row>
    <row r="16" spans="1:8" x14ac:dyDescent="0.35">
      <c r="A16" s="17" t="s">
        <v>76</v>
      </c>
      <c r="B16" s="17">
        <f>8000-4500</f>
        <v>3500</v>
      </c>
      <c r="C16" s="17"/>
      <c r="D16" s="6"/>
      <c r="E16" s="6"/>
      <c r="F16" s="6"/>
      <c r="G16" s="6"/>
      <c r="H16" s="6"/>
    </row>
    <row r="17" spans="1:8" x14ac:dyDescent="0.35">
      <c r="A17" s="17"/>
      <c r="B17" s="17"/>
      <c r="C17" s="17"/>
      <c r="D17" s="6"/>
      <c r="E17" s="6"/>
      <c r="F17" s="6"/>
      <c r="G17" s="6"/>
      <c r="H17" s="6"/>
    </row>
    <row r="18" spans="1:8" x14ac:dyDescent="0.35">
      <c r="A18" s="17" t="s">
        <v>47</v>
      </c>
      <c r="B18" s="18">
        <v>0.4</v>
      </c>
      <c r="C18" s="17"/>
      <c r="D18" s="6"/>
      <c r="E18" s="6"/>
      <c r="F18" s="6"/>
      <c r="G18" s="6"/>
      <c r="H18" s="6"/>
    </row>
    <row r="19" spans="1:8" x14ac:dyDescent="0.35">
      <c r="A19" s="6"/>
      <c r="B19" s="13"/>
      <c r="C19" s="6"/>
      <c r="D19" s="6"/>
      <c r="E19" s="6"/>
      <c r="F19" s="6"/>
      <c r="G19" s="6"/>
      <c r="H19" s="6"/>
    </row>
    <row r="20" spans="1:8" x14ac:dyDescent="0.35">
      <c r="A20" s="5"/>
      <c r="B20" s="5">
        <v>0</v>
      </c>
      <c r="C20" s="5">
        <v>1</v>
      </c>
      <c r="D20" s="5">
        <v>2</v>
      </c>
      <c r="E20" s="5">
        <v>3</v>
      </c>
      <c r="F20" s="5">
        <v>4</v>
      </c>
      <c r="G20" s="5">
        <v>5</v>
      </c>
      <c r="H20" s="6"/>
    </row>
    <row r="21" spans="1:8" x14ac:dyDescent="0.35">
      <c r="A21" s="15" t="s">
        <v>31</v>
      </c>
      <c r="B21" s="6"/>
      <c r="C21" s="6"/>
      <c r="D21" s="6"/>
      <c r="E21" s="6"/>
      <c r="F21" s="6"/>
      <c r="G21" s="6"/>
      <c r="H21" s="6"/>
    </row>
    <row r="22" spans="1:8" x14ac:dyDescent="0.35">
      <c r="A22" s="6" t="s">
        <v>32</v>
      </c>
      <c r="B22" s="6">
        <f>-B11</f>
        <v>-12000</v>
      </c>
      <c r="C22" s="6"/>
      <c r="D22" s="6"/>
      <c r="E22" s="6"/>
      <c r="F22" s="6"/>
      <c r="G22" s="6"/>
      <c r="H22" s="6"/>
    </row>
    <row r="23" spans="1:8" x14ac:dyDescent="0.35">
      <c r="A23" s="6" t="s">
        <v>33</v>
      </c>
      <c r="B23" s="6">
        <f>-B12</f>
        <v>0</v>
      </c>
      <c r="C23" s="6"/>
      <c r="D23" s="6"/>
      <c r="E23" s="6"/>
      <c r="F23" s="6"/>
      <c r="G23" s="6"/>
      <c r="H23" s="6"/>
    </row>
    <row r="24" spans="1:8" x14ac:dyDescent="0.35">
      <c r="A24" s="6" t="s">
        <v>34</v>
      </c>
      <c r="B24" s="6">
        <f>-B15</f>
        <v>-1400</v>
      </c>
      <c r="C24" s="6"/>
      <c r="D24" s="6"/>
      <c r="E24" s="6"/>
      <c r="F24" s="6"/>
      <c r="G24" s="6"/>
      <c r="H24" s="6"/>
    </row>
    <row r="25" spans="1:8" x14ac:dyDescent="0.35">
      <c r="A25" s="6" t="s">
        <v>78</v>
      </c>
      <c r="B25" s="6">
        <f>B8</f>
        <v>1600</v>
      </c>
      <c r="C25" s="6"/>
      <c r="D25" s="6"/>
      <c r="E25" s="6"/>
      <c r="F25" s="6"/>
      <c r="G25" s="6"/>
      <c r="H25" s="6"/>
    </row>
    <row r="26" spans="1:8" x14ac:dyDescent="0.35">
      <c r="A26" s="8" t="s">
        <v>54</v>
      </c>
      <c r="B26" s="6">
        <f>-(B8-B7)*B18</f>
        <v>520</v>
      </c>
      <c r="C26" s="6"/>
      <c r="D26" s="6"/>
      <c r="E26" s="6"/>
      <c r="F26" s="6"/>
      <c r="G26" s="6"/>
      <c r="H26" s="6"/>
    </row>
    <row r="27" spans="1:8" x14ac:dyDescent="0.35">
      <c r="A27" s="7" t="s">
        <v>35</v>
      </c>
      <c r="B27" s="6">
        <f>SUM(B22:B26)</f>
        <v>-11280</v>
      </c>
      <c r="C27" s="6"/>
      <c r="D27" s="6"/>
      <c r="E27" s="6"/>
      <c r="F27" s="6"/>
      <c r="G27" s="6"/>
      <c r="H27" s="6"/>
    </row>
    <row r="28" spans="1:8" ht="11.5" customHeight="1" x14ac:dyDescent="0.35">
      <c r="A28" s="6"/>
      <c r="B28" s="6"/>
      <c r="C28" s="6"/>
      <c r="D28" s="6"/>
      <c r="E28" s="6"/>
      <c r="F28" s="6"/>
      <c r="G28" s="6"/>
      <c r="H28" s="6"/>
    </row>
    <row r="29" spans="1:8" x14ac:dyDescent="0.35">
      <c r="A29" s="15" t="s">
        <v>59</v>
      </c>
      <c r="B29" s="6"/>
      <c r="C29" s="6"/>
      <c r="D29" s="6"/>
      <c r="E29" s="6"/>
      <c r="F29" s="6"/>
      <c r="G29" s="6"/>
      <c r="H29" s="6"/>
    </row>
    <row r="30" spans="1:8" x14ac:dyDescent="0.35">
      <c r="A30" s="35" t="s">
        <v>77</v>
      </c>
      <c r="B30" s="6"/>
      <c r="C30" s="32">
        <f>$B$16*(1+$F$12)</f>
        <v>3605</v>
      </c>
      <c r="D30" s="32">
        <f>C30*(1+$F$12)</f>
        <v>3713.15</v>
      </c>
      <c r="E30" s="32">
        <f t="shared" ref="E30:G30" si="0">D30*(1+$F$12)</f>
        <v>3824.5445</v>
      </c>
      <c r="F30" s="32">
        <f t="shared" si="0"/>
        <v>3939.280835</v>
      </c>
      <c r="G30" s="32">
        <f t="shared" si="0"/>
        <v>4057.45926005</v>
      </c>
      <c r="H30" s="6"/>
    </row>
    <row r="31" spans="1:8" x14ac:dyDescent="0.35">
      <c r="A31" s="16" t="s">
        <v>80</v>
      </c>
      <c r="B31" s="16"/>
      <c r="C31" s="33">
        <f>$B$6-$B$11*C58</f>
        <v>-3499.6</v>
      </c>
      <c r="D31" s="33">
        <f t="shared" ref="D31:G31" si="1">$B$6-$B$11*D58</f>
        <v>-4834</v>
      </c>
      <c r="E31" s="33">
        <f t="shared" si="1"/>
        <v>-1277.2</v>
      </c>
      <c r="F31" s="33">
        <f t="shared" si="1"/>
        <v>-389.20000000000005</v>
      </c>
      <c r="G31" s="33">
        <f t="shared" si="1"/>
        <v>500</v>
      </c>
      <c r="H31" s="6"/>
    </row>
    <row r="32" spans="1:8" x14ac:dyDescent="0.35">
      <c r="A32" s="7" t="s">
        <v>81</v>
      </c>
      <c r="B32" s="6"/>
      <c r="C32" s="34">
        <f>C30+C31</f>
        <v>105.40000000000009</v>
      </c>
      <c r="D32" s="34">
        <f t="shared" ref="D32:G32" si="2">D30+D31</f>
        <v>-1120.8499999999999</v>
      </c>
      <c r="E32" s="34">
        <f t="shared" si="2"/>
        <v>2547.3445000000002</v>
      </c>
      <c r="F32" s="34">
        <f t="shared" si="2"/>
        <v>3550.0808349999998</v>
      </c>
      <c r="G32" s="34">
        <f t="shared" si="2"/>
        <v>4557.45926005</v>
      </c>
      <c r="H32" s="6"/>
    </row>
    <row r="33" spans="1:8" x14ac:dyDescent="0.35">
      <c r="A33" s="16" t="s">
        <v>46</v>
      </c>
      <c r="B33" s="16"/>
      <c r="C33" s="33">
        <f>-$B$18*C32</f>
        <v>-42.160000000000039</v>
      </c>
      <c r="D33" s="33">
        <f>-$B$18*D32</f>
        <v>448.34</v>
      </c>
      <c r="E33" s="33">
        <f>-$B$18*E32</f>
        <v>-1018.9378000000002</v>
      </c>
      <c r="F33" s="33">
        <f>-$B$18*F32</f>
        <v>-1420.032334</v>
      </c>
      <c r="G33" s="33">
        <f>-$B$18*G32</f>
        <v>-1822.98370402</v>
      </c>
      <c r="H33" s="6"/>
    </row>
    <row r="34" spans="1:8" x14ac:dyDescent="0.35">
      <c r="A34" s="7" t="s">
        <v>49</v>
      </c>
      <c r="B34" s="6"/>
      <c r="C34" s="34">
        <f>C32+C33</f>
        <v>63.240000000000052</v>
      </c>
      <c r="D34" s="34">
        <f t="shared" ref="D34:F34" si="3">D32+D33</f>
        <v>-672.51</v>
      </c>
      <c r="E34" s="34">
        <f t="shared" si="3"/>
        <v>1528.4067</v>
      </c>
      <c r="F34" s="34">
        <f t="shared" si="3"/>
        <v>2130.0485009999998</v>
      </c>
      <c r="G34" s="34">
        <f>G32+G33</f>
        <v>2734.47555603</v>
      </c>
      <c r="H34" s="6"/>
    </row>
    <row r="35" spans="1:8" x14ac:dyDescent="0.35">
      <c r="A35" s="16" t="s">
        <v>55</v>
      </c>
      <c r="B35" s="16"/>
      <c r="C35" s="33">
        <f>-C31</f>
        <v>3499.6</v>
      </c>
      <c r="D35" s="33">
        <f t="shared" ref="D35:G35" si="4">-D31</f>
        <v>4834</v>
      </c>
      <c r="E35" s="33">
        <f t="shared" si="4"/>
        <v>1277.2</v>
      </c>
      <c r="F35" s="33">
        <f t="shared" si="4"/>
        <v>389.20000000000005</v>
      </c>
      <c r="G35" s="33">
        <f t="shared" si="4"/>
        <v>-500</v>
      </c>
      <c r="H35" s="6"/>
    </row>
    <row r="36" spans="1:8" x14ac:dyDescent="0.35">
      <c r="A36" s="7" t="s">
        <v>58</v>
      </c>
      <c r="B36" s="6"/>
      <c r="C36" s="34">
        <f>C34+C35</f>
        <v>3562.84</v>
      </c>
      <c r="D36" s="34">
        <f>D34+D35</f>
        <v>4161.49</v>
      </c>
      <c r="E36" s="34">
        <f t="shared" ref="E36:F36" si="5">E34+E35</f>
        <v>2805.6067000000003</v>
      </c>
      <c r="F36" s="34">
        <f t="shared" si="5"/>
        <v>2519.248501</v>
      </c>
      <c r="G36" s="34">
        <f>G34+G35</f>
        <v>2234.47555603</v>
      </c>
      <c r="H36" s="6"/>
    </row>
    <row r="37" spans="1:8" ht="6.65" customHeight="1" x14ac:dyDescent="0.35">
      <c r="A37" s="6"/>
      <c r="B37" s="6"/>
      <c r="C37" s="6"/>
      <c r="D37" s="6"/>
      <c r="E37" s="6"/>
      <c r="F37" s="6"/>
      <c r="G37" s="6"/>
      <c r="H37" s="6"/>
    </row>
    <row r="38" spans="1:8" x14ac:dyDescent="0.35">
      <c r="A38" s="15" t="s">
        <v>51</v>
      </c>
      <c r="B38" s="6"/>
      <c r="C38" s="6"/>
      <c r="D38" s="6"/>
      <c r="E38" s="6"/>
      <c r="F38" s="6"/>
      <c r="G38" s="6"/>
      <c r="H38" s="6"/>
    </row>
    <row r="39" spans="1:8" x14ac:dyDescent="0.35">
      <c r="A39" s="6" t="s">
        <v>82</v>
      </c>
      <c r="B39" s="6"/>
      <c r="C39" s="6"/>
      <c r="D39" s="6"/>
      <c r="E39" s="6"/>
      <c r="F39" s="6"/>
      <c r="G39" s="6">
        <f>-B9</f>
        <v>-400</v>
      </c>
      <c r="H39" s="6"/>
    </row>
    <row r="40" spans="1:8" x14ac:dyDescent="0.35">
      <c r="A40" s="6" t="s">
        <v>83</v>
      </c>
      <c r="B40" s="6"/>
      <c r="C40" s="6"/>
      <c r="D40" s="6"/>
      <c r="E40" s="6"/>
      <c r="F40" s="6"/>
      <c r="G40" s="6">
        <f>(B9-(B7-5*B6))*B18</f>
        <v>0</v>
      </c>
      <c r="H40" s="6"/>
    </row>
    <row r="41" spans="1:8" x14ac:dyDescent="0.35">
      <c r="A41" s="6" t="s">
        <v>56</v>
      </c>
      <c r="B41" s="6"/>
      <c r="C41" s="6"/>
      <c r="D41" s="6"/>
      <c r="E41" s="6"/>
      <c r="F41" s="6"/>
      <c r="G41" s="6">
        <f>B13</f>
        <v>2000</v>
      </c>
      <c r="H41" s="6"/>
    </row>
    <row r="42" spans="1:8" x14ac:dyDescent="0.35">
      <c r="A42" s="8" t="s">
        <v>54</v>
      </c>
      <c r="B42" s="6"/>
      <c r="C42" s="6"/>
      <c r="D42" s="6"/>
      <c r="E42" s="6"/>
      <c r="F42" s="6"/>
      <c r="G42" s="6">
        <f>-(B13-G60)*B18</f>
        <v>-800</v>
      </c>
      <c r="H42" s="6"/>
    </row>
    <row r="43" spans="1:8" x14ac:dyDescent="0.35">
      <c r="A43" s="16" t="s">
        <v>57</v>
      </c>
      <c r="B43" s="16"/>
      <c r="C43" s="16"/>
      <c r="D43" s="16"/>
      <c r="E43" s="16"/>
      <c r="F43" s="16"/>
      <c r="G43" s="16">
        <f>B15</f>
        <v>1400</v>
      </c>
      <c r="H43" s="6"/>
    </row>
    <row r="44" spans="1:8" x14ac:dyDescent="0.35">
      <c r="A44" s="7" t="s">
        <v>60</v>
      </c>
      <c r="B44" s="6"/>
      <c r="C44" s="6"/>
      <c r="D44" s="6"/>
      <c r="E44" s="6"/>
      <c r="F44" s="6"/>
      <c r="G44" s="7">
        <f>SUM(G39:G43)</f>
        <v>2200</v>
      </c>
      <c r="H44" s="6"/>
    </row>
    <row r="45" spans="1:8" ht="9.15" customHeight="1" x14ac:dyDescent="0.35">
      <c r="A45" s="6"/>
      <c r="B45" s="6"/>
      <c r="C45" s="6"/>
      <c r="D45" s="6"/>
      <c r="E45" s="6"/>
      <c r="F45" s="6"/>
      <c r="G45" s="6"/>
      <c r="H45" s="6"/>
    </row>
    <row r="46" spans="1:8" x14ac:dyDescent="0.35">
      <c r="A46" s="27" t="s">
        <v>61</v>
      </c>
      <c r="B46" s="28">
        <f>B27</f>
        <v>-11280</v>
      </c>
      <c r="C46" s="28">
        <f>C36</f>
        <v>3562.84</v>
      </c>
      <c r="D46" s="28">
        <f t="shared" ref="D46:F46" si="6">D36</f>
        <v>4161.49</v>
      </c>
      <c r="E46" s="28">
        <f t="shared" si="6"/>
        <v>2805.6067000000003</v>
      </c>
      <c r="F46" s="28">
        <f t="shared" si="6"/>
        <v>2519.248501</v>
      </c>
      <c r="G46" s="28">
        <f>G36+G44</f>
        <v>4434.47555603</v>
      </c>
      <c r="H46" s="6"/>
    </row>
    <row r="47" spans="1:8" hidden="1" outlineLevel="1" x14ac:dyDescent="0.35">
      <c r="A47" s="7" t="s">
        <v>29</v>
      </c>
      <c r="B47" s="9">
        <f>B46/(1+$E$51)^B20</f>
        <v>-11280</v>
      </c>
      <c r="C47" s="9">
        <f>C46/(1+$E$51)^C20</f>
        <v>3098.1217391304353</v>
      </c>
      <c r="D47" s="9">
        <f>D46/(1+$E$51)^D20</f>
        <v>3146.6843100189039</v>
      </c>
      <c r="E47" s="9">
        <f>E46/(1+$E$51)^E20</f>
        <v>1844.731947069944</v>
      </c>
      <c r="F47" s="9">
        <f t="shared" ref="F47" si="7">F46/(1+$E$51)^F20</f>
        <v>1440.3885069021342</v>
      </c>
      <c r="G47" s="9">
        <f>G46/(1+$E$51)^G20</f>
        <v>2204.7180797070641</v>
      </c>
      <c r="H47" s="6"/>
    </row>
    <row r="48" spans="1:8" hidden="1" outlineLevel="1" x14ac:dyDescent="0.35">
      <c r="A48" s="6" t="s">
        <v>66</v>
      </c>
      <c r="B48" s="10">
        <f>B46</f>
        <v>-11280</v>
      </c>
      <c r="C48" s="10">
        <f t="shared" ref="C48:E49" si="8">B48+C46</f>
        <v>-7717.16</v>
      </c>
      <c r="D48" s="10">
        <f t="shared" si="8"/>
        <v>-3555.67</v>
      </c>
      <c r="E48" s="10">
        <f t="shared" si="8"/>
        <v>-750.0632999999998</v>
      </c>
      <c r="F48" s="10">
        <f t="shared" ref="F48:G49" si="9">E48+F46</f>
        <v>1769.1852010000002</v>
      </c>
      <c r="G48" s="10">
        <f t="shared" si="9"/>
        <v>6203.6607570300002</v>
      </c>
      <c r="H48" s="6"/>
    </row>
    <row r="49" spans="1:8" hidden="1" outlineLevel="1" x14ac:dyDescent="0.35">
      <c r="A49" s="6" t="s">
        <v>67</v>
      </c>
      <c r="B49" s="10">
        <f>B47</f>
        <v>-11280</v>
      </c>
      <c r="C49" s="10">
        <f t="shared" si="8"/>
        <v>-8181.8782608695647</v>
      </c>
      <c r="D49" s="10">
        <f t="shared" si="8"/>
        <v>-5035.1939508506603</v>
      </c>
      <c r="E49" s="10">
        <f t="shared" si="8"/>
        <v>-3190.4620037807163</v>
      </c>
      <c r="F49" s="10">
        <f t="shared" si="9"/>
        <v>-1750.0734968785821</v>
      </c>
      <c r="G49" s="10">
        <f t="shared" si="9"/>
        <v>454.64458282848204</v>
      </c>
      <c r="H49" s="6"/>
    </row>
    <row r="50" spans="1:8" ht="15.65" customHeight="1" collapsed="1" x14ac:dyDescent="0.35">
      <c r="A50" s="6"/>
      <c r="B50" s="6"/>
      <c r="C50" s="6"/>
      <c r="D50" s="6"/>
      <c r="E50" s="6"/>
      <c r="F50" s="6"/>
      <c r="G50" s="6"/>
      <c r="H50" s="6"/>
    </row>
    <row r="51" spans="1:8" x14ac:dyDescent="0.35">
      <c r="A51" s="21" t="s">
        <v>24</v>
      </c>
      <c r="B51" s="22">
        <f>SUM(B47:G47)</f>
        <v>454.64458282848204</v>
      </c>
      <c r="C51" s="25"/>
      <c r="D51" s="21" t="s">
        <v>65</v>
      </c>
      <c r="E51" s="26">
        <v>0.15</v>
      </c>
      <c r="F51" s="6"/>
      <c r="G51" s="6"/>
      <c r="H51" s="6"/>
    </row>
    <row r="52" spans="1:8" x14ac:dyDescent="0.35">
      <c r="A52" s="21" t="s">
        <v>62</v>
      </c>
      <c r="B52" s="23">
        <f>IRR(B46:G46)</f>
        <v>0.16703748513272165</v>
      </c>
      <c r="C52" s="25"/>
      <c r="D52" s="25" t="s">
        <v>89</v>
      </c>
      <c r="E52" s="25"/>
      <c r="F52" s="6"/>
      <c r="G52" s="6"/>
      <c r="H52" s="6"/>
    </row>
    <row r="53" spans="1:8" x14ac:dyDescent="0.35">
      <c r="A53" s="21" t="s">
        <v>109</v>
      </c>
      <c r="B53" s="23">
        <f>MIRR(B46:F46,E51,E51)</f>
        <v>0.10253644251387994</v>
      </c>
      <c r="C53" s="25"/>
      <c r="D53" s="25" t="s">
        <v>90</v>
      </c>
      <c r="E53" s="25"/>
      <c r="F53" s="6"/>
      <c r="G53" s="6"/>
      <c r="H53" s="6"/>
    </row>
    <row r="54" spans="1:8" x14ac:dyDescent="0.35">
      <c r="A54" s="21" t="s">
        <v>63</v>
      </c>
      <c r="B54" s="24">
        <f>MATCH(0,B48:G48)-1+-INDEX(B48:G48,1,MATCH(0,B48:G48))/INDEX(C46:G46,1,MATCH(0,B48:G48))</f>
        <v>3.2977329547689584</v>
      </c>
      <c r="C54" s="25"/>
      <c r="D54" s="25" t="s">
        <v>91</v>
      </c>
      <c r="E54" s="25"/>
      <c r="F54" s="6"/>
      <c r="G54" s="6"/>
      <c r="H54" s="6"/>
    </row>
    <row r="55" spans="1:8" x14ac:dyDescent="0.35">
      <c r="A55" s="21" t="s">
        <v>64</v>
      </c>
      <c r="B55" s="24">
        <f>MATCH(0,B49:G49)-1+-INDEX(B49:G49,1,MATCH(0,B49:G49))/INDEX(C47:G47,1,MATCH(0,B49:G49))</f>
        <v>4.7937856150347855</v>
      </c>
      <c r="C55" s="25"/>
      <c r="D55" s="25"/>
      <c r="E55" s="25"/>
      <c r="F55" s="6"/>
      <c r="G55" s="44"/>
      <c r="H55" s="6"/>
    </row>
    <row r="56" spans="1:8" x14ac:dyDescent="0.35">
      <c r="A56" s="6"/>
      <c r="B56" s="6"/>
      <c r="C56" s="6"/>
      <c r="D56" s="6"/>
      <c r="E56" s="6"/>
      <c r="F56" s="6"/>
      <c r="G56" s="6"/>
      <c r="H56" s="6"/>
    </row>
    <row r="57" spans="1:8" x14ac:dyDescent="0.35">
      <c r="A57" s="17" t="s">
        <v>50</v>
      </c>
      <c r="B57" s="17"/>
      <c r="C57" s="17"/>
      <c r="D57" s="17"/>
      <c r="E57" s="17"/>
      <c r="F57" s="17"/>
      <c r="G57" s="17"/>
      <c r="H57" s="17"/>
    </row>
    <row r="58" spans="1:8" x14ac:dyDescent="0.35">
      <c r="A58" s="17" t="s">
        <v>72</v>
      </c>
      <c r="B58" s="17"/>
      <c r="C58" s="20">
        <v>0.33329999999999999</v>
      </c>
      <c r="D58" s="20">
        <v>0.44450000000000001</v>
      </c>
      <c r="E58" s="20">
        <v>0.14810000000000001</v>
      </c>
      <c r="F58" s="20">
        <v>7.4099999999999999E-2</v>
      </c>
      <c r="G58" s="20">
        <v>0</v>
      </c>
      <c r="H58" s="20"/>
    </row>
    <row r="59" spans="1:8" x14ac:dyDescent="0.35">
      <c r="A59" s="17"/>
      <c r="B59" s="17"/>
      <c r="C59" s="17"/>
      <c r="D59" s="17"/>
      <c r="E59" s="17"/>
      <c r="F59" s="17"/>
      <c r="G59" s="17"/>
      <c r="H59" s="17"/>
    </row>
    <row r="60" spans="1:8" x14ac:dyDescent="0.35">
      <c r="A60" s="17" t="s">
        <v>73</v>
      </c>
      <c r="B60" s="17">
        <f>B11+B12</f>
        <v>12000</v>
      </c>
      <c r="C60" s="17">
        <f>B60-C58*$B$60</f>
        <v>8000.4</v>
      </c>
      <c r="D60" s="17">
        <f>C60-D58*$B$60</f>
        <v>2666.3999999999996</v>
      </c>
      <c r="E60" s="17">
        <f>D60-E58*$B$60</f>
        <v>889.19999999999959</v>
      </c>
      <c r="F60" s="30">
        <f>E60-F58*$B$60</f>
        <v>0</v>
      </c>
      <c r="G60" s="30">
        <f>F60-G58*$B$60</f>
        <v>0</v>
      </c>
      <c r="H60" s="30"/>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B1:N16"/>
  <sheetViews>
    <sheetView showGridLines="0" workbookViewId="0"/>
  </sheetViews>
  <sheetFormatPr defaultRowHeight="14.5" outlineLevelRow="1" outlineLevelCol="1" x14ac:dyDescent="0.35"/>
  <cols>
    <col min="3" max="3" width="6.08984375" customWidth="1"/>
    <col min="4" max="14" width="11.90625" bestFit="1" customWidth="1" outlineLevel="1"/>
  </cols>
  <sheetData>
    <row r="1" spans="2:14" ht="15" thickBot="1" x14ac:dyDescent="0.4"/>
    <row r="2" spans="2:14" ht="15.5" x14ac:dyDescent="0.35">
      <c r="B2" s="197" t="s">
        <v>247</v>
      </c>
      <c r="C2" s="197"/>
      <c r="D2" s="161"/>
      <c r="E2" s="161"/>
      <c r="F2" s="161"/>
      <c r="G2" s="161"/>
      <c r="H2" s="161"/>
      <c r="I2" s="161"/>
      <c r="J2" s="161"/>
      <c r="K2" s="161"/>
      <c r="L2" s="161"/>
      <c r="M2" s="161"/>
      <c r="N2" s="161"/>
    </row>
    <row r="3" spans="2:14" ht="15.5" collapsed="1" x14ac:dyDescent="0.35">
      <c r="B3" s="196"/>
      <c r="C3" s="196"/>
      <c r="D3" s="162" t="s">
        <v>249</v>
      </c>
      <c r="E3" s="162" t="s">
        <v>259</v>
      </c>
      <c r="F3" s="162" t="s">
        <v>260</v>
      </c>
      <c r="G3" s="162" t="s">
        <v>261</v>
      </c>
      <c r="H3" s="162" t="s">
        <v>262</v>
      </c>
      <c r="I3" s="162" t="s">
        <v>263</v>
      </c>
      <c r="J3" s="162" t="s">
        <v>326</v>
      </c>
      <c r="K3" s="162" t="s">
        <v>328</v>
      </c>
      <c r="L3" s="162" t="s">
        <v>329</v>
      </c>
      <c r="M3" s="162" t="s">
        <v>330</v>
      </c>
      <c r="N3" s="162" t="s">
        <v>267</v>
      </c>
    </row>
    <row r="4" spans="2:14" ht="42" hidden="1" outlineLevel="1" x14ac:dyDescent="0.35">
      <c r="B4" s="198"/>
      <c r="C4" s="198"/>
      <c r="D4" s="158"/>
      <c r="E4" s="164" t="s">
        <v>264</v>
      </c>
      <c r="F4" s="164" t="s">
        <v>265</v>
      </c>
      <c r="G4" s="164" t="s">
        <v>265</v>
      </c>
      <c r="H4" s="164" t="s">
        <v>265</v>
      </c>
      <c r="I4" s="164" t="s">
        <v>265</v>
      </c>
      <c r="J4" s="164" t="s">
        <v>327</v>
      </c>
      <c r="K4" s="164" t="s">
        <v>327</v>
      </c>
      <c r="L4" s="164" t="s">
        <v>327</v>
      </c>
      <c r="M4" s="164" t="s">
        <v>327</v>
      </c>
      <c r="N4" s="164" t="s">
        <v>327</v>
      </c>
    </row>
    <row r="5" spans="2:14" x14ac:dyDescent="0.35">
      <c r="B5" s="199" t="s">
        <v>248</v>
      </c>
      <c r="C5" s="199"/>
      <c r="D5" s="160"/>
      <c r="E5" s="160"/>
      <c r="F5" s="160"/>
      <c r="G5" s="160"/>
      <c r="H5" s="160"/>
      <c r="I5" s="160"/>
      <c r="J5" s="160"/>
      <c r="K5" s="160"/>
      <c r="L5" s="160"/>
      <c r="M5" s="160"/>
      <c r="N5" s="160"/>
    </row>
    <row r="6" spans="2:14" outlineLevel="1" x14ac:dyDescent="0.35">
      <c r="B6" s="198"/>
      <c r="C6" s="198" t="s">
        <v>246</v>
      </c>
      <c r="D6" s="159">
        <v>0</v>
      </c>
      <c r="E6" s="163">
        <v>-0.1</v>
      </c>
      <c r="F6" s="163">
        <v>-0.05</v>
      </c>
      <c r="G6" s="163">
        <v>0</v>
      </c>
      <c r="H6" s="163">
        <v>0.05</v>
      </c>
      <c r="I6" s="163">
        <v>0.1</v>
      </c>
      <c r="J6" s="159">
        <v>0</v>
      </c>
      <c r="K6" s="159">
        <v>0</v>
      </c>
      <c r="L6" s="159">
        <v>0</v>
      </c>
      <c r="M6" s="159">
        <v>0</v>
      </c>
      <c r="N6" s="159">
        <v>0</v>
      </c>
    </row>
    <row r="7" spans="2:14" outlineLevel="1" x14ac:dyDescent="0.35">
      <c r="B7" s="198"/>
      <c r="C7" s="198" t="s">
        <v>266</v>
      </c>
      <c r="D7" s="159">
        <v>0</v>
      </c>
      <c r="E7" s="159">
        <v>0</v>
      </c>
      <c r="F7" s="159">
        <v>0</v>
      </c>
      <c r="G7" s="159">
        <v>0</v>
      </c>
      <c r="H7" s="159">
        <v>0</v>
      </c>
      <c r="I7" s="159">
        <v>0</v>
      </c>
      <c r="J7" s="163">
        <v>-0.1</v>
      </c>
      <c r="K7" s="163">
        <v>-0.05</v>
      </c>
      <c r="L7" s="163">
        <v>0</v>
      </c>
      <c r="M7" s="163">
        <v>0.05</v>
      </c>
      <c r="N7" s="163">
        <v>0.1</v>
      </c>
    </row>
    <row r="8" spans="2:14" x14ac:dyDescent="0.35">
      <c r="B8" s="199" t="s">
        <v>250</v>
      </c>
      <c r="C8" s="199"/>
      <c r="D8" s="160"/>
      <c r="E8" s="160"/>
      <c r="F8" s="160"/>
      <c r="G8" s="160"/>
      <c r="H8" s="160"/>
      <c r="I8" s="160"/>
      <c r="J8" s="160"/>
      <c r="K8" s="160"/>
      <c r="L8" s="160"/>
      <c r="M8" s="160"/>
      <c r="N8" s="160"/>
    </row>
    <row r="9" spans="2:14" outlineLevel="1" x14ac:dyDescent="0.35">
      <c r="B9" s="198"/>
      <c r="C9" s="198" t="s">
        <v>254</v>
      </c>
      <c r="D9" s="165">
        <v>3791.1742739627198</v>
      </c>
      <c r="E9" s="165">
        <v>1735.58985280928</v>
      </c>
      <c r="F9" s="165">
        <v>2763.382063386</v>
      </c>
      <c r="G9" s="165">
        <v>3791.1742739627198</v>
      </c>
      <c r="H9" s="165">
        <v>4818.96648453944</v>
      </c>
      <c r="I9" s="165">
        <v>5846.7586951161602</v>
      </c>
      <c r="J9" s="165">
        <v>1735.58985280928</v>
      </c>
      <c r="K9" s="165">
        <v>2763.382063386</v>
      </c>
      <c r="L9" s="165">
        <v>3791.1742739627198</v>
      </c>
      <c r="M9" s="165">
        <v>4818.96648453944</v>
      </c>
      <c r="N9" s="165">
        <v>5846.7586951161602</v>
      </c>
    </row>
    <row r="10" spans="2:14" outlineLevel="1" x14ac:dyDescent="0.35">
      <c r="B10" s="198"/>
      <c r="C10" s="198" t="s">
        <v>255</v>
      </c>
      <c r="D10" s="166">
        <v>0.26325251341756101</v>
      </c>
      <c r="E10" s="166">
        <v>0.20237785998938199</v>
      </c>
      <c r="F10" s="166">
        <v>0.23296092188887199</v>
      </c>
      <c r="G10" s="166">
        <v>0.26325251341756101</v>
      </c>
      <c r="H10" s="166">
        <v>0.29327531904792897</v>
      </c>
      <c r="I10" s="166">
        <v>0.32304978391392403</v>
      </c>
      <c r="J10" s="166">
        <v>0.20237785998938199</v>
      </c>
      <c r="K10" s="166">
        <v>0.23296092188887199</v>
      </c>
      <c r="L10" s="166">
        <v>0.26325251341756101</v>
      </c>
      <c r="M10" s="166">
        <v>0.29327531904792897</v>
      </c>
      <c r="N10" s="166">
        <v>0.32304978391392403</v>
      </c>
    </row>
    <row r="11" spans="2:14" outlineLevel="1" x14ac:dyDescent="0.35">
      <c r="B11" s="198"/>
      <c r="C11" s="198" t="s">
        <v>256</v>
      </c>
      <c r="D11" s="166">
        <v>0.22100371379945399</v>
      </c>
      <c r="E11" s="166">
        <v>0.18409511173554499</v>
      </c>
      <c r="F11" s="166">
        <v>0.20297400356206</v>
      </c>
      <c r="G11" s="166">
        <v>0.22100371379945399</v>
      </c>
      <c r="H11" s="166">
        <v>0.238268353101172</v>
      </c>
      <c r="I11" s="166">
        <v>0.25483963801049098</v>
      </c>
      <c r="J11" s="166">
        <v>0.18409511173554499</v>
      </c>
      <c r="K11" s="166">
        <v>0.20297400356206</v>
      </c>
      <c r="L11" s="166">
        <v>0.22100371379945399</v>
      </c>
      <c r="M11" s="166">
        <v>0.238268353101172</v>
      </c>
      <c r="N11" s="166">
        <v>0.25483963801049098</v>
      </c>
    </row>
    <row r="12" spans="2:14" outlineLevel="1" x14ac:dyDescent="0.35">
      <c r="B12" s="198"/>
      <c r="C12" s="198" t="s">
        <v>257</v>
      </c>
      <c r="D12" s="167">
        <v>2.7085346215780999</v>
      </c>
      <c r="E12" s="167">
        <v>3.07241659886086</v>
      </c>
      <c r="F12" s="167">
        <v>2.9201388888888902</v>
      </c>
      <c r="G12" s="167">
        <v>2.7085346215780999</v>
      </c>
      <c r="H12" s="167">
        <v>2.5255255255255298</v>
      </c>
      <c r="I12" s="167">
        <v>2.3656821378340398</v>
      </c>
      <c r="J12" s="167">
        <v>3.07241659886086</v>
      </c>
      <c r="K12" s="167">
        <v>2.9201388888888902</v>
      </c>
      <c r="L12" s="167">
        <v>2.7085346215780999</v>
      </c>
      <c r="M12" s="167">
        <v>2.5255255255255298</v>
      </c>
      <c r="N12" s="167">
        <v>2.3656821378340398</v>
      </c>
    </row>
    <row r="13" spans="2:14" ht="15" outlineLevel="1" thickBot="1" x14ac:dyDescent="0.4">
      <c r="B13" s="200"/>
      <c r="C13" s="200" t="s">
        <v>258</v>
      </c>
      <c r="D13" s="168">
        <v>3.3716084628506402</v>
      </c>
      <c r="E13" s="168">
        <v>3.6912573738812</v>
      </c>
      <c r="F13" s="168">
        <v>3.5257876275510198</v>
      </c>
      <c r="G13" s="168">
        <v>3.3716084628506402</v>
      </c>
      <c r="H13" s="168">
        <v>3.2276024101906202</v>
      </c>
      <c r="I13" s="168">
        <v>3.0927947569198002</v>
      </c>
      <c r="J13" s="168">
        <v>3.6912573738812</v>
      </c>
      <c r="K13" s="168">
        <v>3.5257876275510198</v>
      </c>
      <c r="L13" s="168">
        <v>3.3716084628506402</v>
      </c>
      <c r="M13" s="168">
        <v>3.2276024101906202</v>
      </c>
      <c r="N13" s="168">
        <v>3.0927947569198002</v>
      </c>
    </row>
    <row r="14" spans="2:14" x14ac:dyDescent="0.35">
      <c r="B14" t="s">
        <v>251</v>
      </c>
    </row>
    <row r="15" spans="2:14" x14ac:dyDescent="0.35">
      <c r="B15" t="s">
        <v>252</v>
      </c>
    </row>
    <row r="16" spans="2:14" x14ac:dyDescent="0.35">
      <c r="B16" t="s">
        <v>253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49"/>
  <sheetViews>
    <sheetView topLeftCell="A37" zoomScaleNormal="100" workbookViewId="0">
      <selection activeCell="C49" sqref="C49"/>
    </sheetView>
  </sheetViews>
  <sheetFormatPr defaultRowHeight="14.5" outlineLevelRow="1" x14ac:dyDescent="0.35"/>
  <cols>
    <col min="1" max="1" width="25.90625" customWidth="1"/>
    <col min="2" max="2" width="11.453125" customWidth="1"/>
    <col min="3" max="3" width="13.36328125" customWidth="1"/>
    <col min="4" max="4" width="12.08984375" customWidth="1"/>
    <col min="5" max="5" width="12.54296875" customWidth="1"/>
    <col min="6" max="6" width="11.6328125" bestFit="1" customWidth="1"/>
    <col min="7" max="7" width="21" customWidth="1"/>
    <col min="8" max="8" width="15.36328125" customWidth="1"/>
    <col min="9" max="9" width="13" customWidth="1"/>
    <col min="10" max="12" width="11.54296875" customWidth="1"/>
    <col min="13" max="13" width="16.453125" customWidth="1"/>
    <col min="14" max="14" width="14.90625" customWidth="1"/>
  </cols>
  <sheetData>
    <row r="1" spans="1:14" x14ac:dyDescent="0.35">
      <c r="A1" s="6"/>
      <c r="B1" s="6"/>
      <c r="C1" s="6"/>
      <c r="D1" s="6"/>
      <c r="E1" s="6"/>
      <c r="F1" s="6"/>
      <c r="G1" s="6"/>
      <c r="H1" s="6"/>
    </row>
    <row r="2" spans="1:14" x14ac:dyDescent="0.35">
      <c r="A2" s="17" t="s">
        <v>41</v>
      </c>
      <c r="B2" s="17"/>
      <c r="C2" s="17"/>
      <c r="D2" s="55" t="s">
        <v>116</v>
      </c>
      <c r="E2" s="55" t="s">
        <v>117</v>
      </c>
      <c r="F2" s="6"/>
      <c r="G2" s="6"/>
      <c r="H2" s="6"/>
      <c r="I2" s="58"/>
      <c r="J2" s="203" t="s">
        <v>118</v>
      </c>
      <c r="K2" s="203"/>
      <c r="L2" s="203"/>
      <c r="M2" s="203"/>
      <c r="N2" s="203"/>
    </row>
    <row r="3" spans="1:14" x14ac:dyDescent="0.35">
      <c r="A3" s="17" t="s">
        <v>32</v>
      </c>
      <c r="B3" s="17">
        <f>D3*(100%+E3)</f>
        <v>9500</v>
      </c>
      <c r="C3" s="17"/>
      <c r="D3" s="2">
        <v>9500</v>
      </c>
      <c r="E3" s="49">
        <v>0</v>
      </c>
      <c r="F3" s="6"/>
      <c r="G3" s="6"/>
      <c r="H3" s="6"/>
      <c r="I3" s="58"/>
      <c r="J3" s="59">
        <v>-10</v>
      </c>
      <c r="K3" s="59">
        <v>-5</v>
      </c>
      <c r="L3" s="59">
        <v>0</v>
      </c>
      <c r="M3" s="59">
        <v>5</v>
      </c>
      <c r="N3" s="59">
        <v>10</v>
      </c>
    </row>
    <row r="4" spans="1:14" x14ac:dyDescent="0.35">
      <c r="A4" s="17" t="s">
        <v>33</v>
      </c>
      <c r="B4" s="17">
        <f t="shared" ref="B4:B5" si="0">D4*(100%+E4)</f>
        <v>500</v>
      </c>
      <c r="C4" s="17"/>
      <c r="D4" s="2">
        <v>500</v>
      </c>
      <c r="E4" s="49">
        <v>0</v>
      </c>
      <c r="F4" s="6"/>
      <c r="G4" s="6"/>
      <c r="H4" s="6"/>
      <c r="I4" s="59" t="s">
        <v>24</v>
      </c>
      <c r="J4" s="65">
        <v>1735.5898528092775</v>
      </c>
      <c r="K4" s="65">
        <v>2763.3820633859973</v>
      </c>
      <c r="L4" s="65">
        <v>3791.1742739627184</v>
      </c>
      <c r="M4" s="65">
        <v>4818.9664845394391</v>
      </c>
      <c r="N4" s="65">
        <v>5846.7586951161584</v>
      </c>
    </row>
    <row r="5" spans="1:14" x14ac:dyDescent="0.35">
      <c r="A5" s="17" t="s">
        <v>52</v>
      </c>
      <c r="B5" s="17">
        <f t="shared" si="0"/>
        <v>2000</v>
      </c>
      <c r="C5" s="17"/>
      <c r="D5" s="2">
        <v>2000</v>
      </c>
      <c r="E5" s="49">
        <v>0</v>
      </c>
      <c r="F5" s="6"/>
      <c r="G5" s="6"/>
      <c r="H5" s="6"/>
      <c r="I5" s="59" t="s">
        <v>62</v>
      </c>
      <c r="J5" s="23">
        <v>0.2023778599893824</v>
      </c>
      <c r="K5" s="23">
        <v>0.23296092188887152</v>
      </c>
      <c r="L5" s="23">
        <v>0.26325251341756095</v>
      </c>
      <c r="M5" s="23">
        <v>0.29327531904792936</v>
      </c>
      <c r="N5" s="23">
        <v>0.32304978391392436</v>
      </c>
    </row>
    <row r="6" spans="1:14" x14ac:dyDescent="0.35">
      <c r="A6" s="17"/>
      <c r="B6" s="17"/>
      <c r="C6" s="17"/>
      <c r="D6" s="2"/>
      <c r="E6" s="49"/>
      <c r="F6" s="6"/>
      <c r="G6" s="6"/>
      <c r="H6" s="6"/>
      <c r="I6" s="59" t="s">
        <v>109</v>
      </c>
      <c r="J6" s="23">
        <v>0.18409511173554538</v>
      </c>
      <c r="K6" s="23">
        <v>0.20297400356205997</v>
      </c>
      <c r="L6" s="23">
        <v>0.2210037137994536</v>
      </c>
      <c r="M6" s="23">
        <v>0.238268353101172</v>
      </c>
      <c r="N6" s="23">
        <v>0.25483963801049136</v>
      </c>
    </row>
    <row r="7" spans="1:14" x14ac:dyDescent="0.35">
      <c r="A7" s="17" t="s">
        <v>34</v>
      </c>
      <c r="B7" s="17">
        <f>D7*(100%+E7)</f>
        <v>4000</v>
      </c>
      <c r="C7" s="17"/>
      <c r="D7" s="2">
        <v>4000</v>
      </c>
      <c r="E7" s="49">
        <v>0</v>
      </c>
      <c r="F7" s="6"/>
      <c r="G7" t="s">
        <v>272</v>
      </c>
      <c r="H7" s="6" t="s">
        <v>275</v>
      </c>
      <c r="I7" s="59" t="s">
        <v>63</v>
      </c>
      <c r="J7" s="24">
        <v>3.0724165988608627</v>
      </c>
      <c r="K7" s="24">
        <v>2.9201388888888888</v>
      </c>
      <c r="L7" s="24">
        <v>2.7085346215780999</v>
      </c>
      <c r="M7" s="24">
        <v>2.5255255255255253</v>
      </c>
      <c r="N7" s="24">
        <v>2.3656821378340367</v>
      </c>
    </row>
    <row r="8" spans="1:14" x14ac:dyDescent="0.35">
      <c r="A8" s="17" t="s">
        <v>39</v>
      </c>
      <c r="B8" s="17">
        <f>D8*(100%+E8)</f>
        <v>15000</v>
      </c>
      <c r="C8" s="17"/>
      <c r="D8" s="2">
        <v>15000</v>
      </c>
      <c r="E8" s="49">
        <v>0</v>
      </c>
      <c r="F8" s="6"/>
      <c r="G8" s="181">
        <v>12233.506270808821</v>
      </c>
      <c r="H8" s="86">
        <f>D8-G8</f>
        <v>2766.4937291911792</v>
      </c>
      <c r="I8" s="59" t="s">
        <v>64</v>
      </c>
      <c r="J8" s="24">
        <v>3.6912573738812036</v>
      </c>
      <c r="K8" s="24">
        <v>3.5257876275510203</v>
      </c>
      <c r="L8" s="24">
        <v>3.3716084628506442</v>
      </c>
      <c r="M8" s="24">
        <v>3.2276024101906153</v>
      </c>
      <c r="N8" s="24">
        <v>3.0927947569198011</v>
      </c>
    </row>
    <row r="9" spans="1:14" x14ac:dyDescent="0.35">
      <c r="A9" s="17" t="s">
        <v>40</v>
      </c>
      <c r="B9" s="17">
        <f>D9*(100%+E9)</f>
        <v>2</v>
      </c>
      <c r="C9" s="17"/>
      <c r="D9" s="2">
        <v>2</v>
      </c>
      <c r="E9" s="49">
        <v>0</v>
      </c>
      <c r="F9" s="6"/>
      <c r="G9" s="169">
        <v>1.6311341693438799</v>
      </c>
      <c r="H9" s="119">
        <f>D9-G9</f>
        <v>0.36886583065612011</v>
      </c>
    </row>
    <row r="10" spans="1:14" x14ac:dyDescent="0.35">
      <c r="A10" s="17" t="s">
        <v>37</v>
      </c>
      <c r="B10" s="18">
        <f t="shared" ref="B10:B12" si="1">D10*(100%+E10)</f>
        <v>0.6</v>
      </c>
      <c r="C10" s="17" t="s">
        <v>42</v>
      </c>
      <c r="D10" s="49">
        <v>0.6</v>
      </c>
      <c r="E10" s="49">
        <v>0</v>
      </c>
      <c r="F10" s="6"/>
      <c r="G10" s="6"/>
      <c r="H10" s="90"/>
      <c r="I10" s="58"/>
      <c r="J10" s="203" t="s">
        <v>119</v>
      </c>
      <c r="K10" s="203"/>
      <c r="L10" s="203"/>
      <c r="M10" s="203"/>
      <c r="N10" s="203"/>
    </row>
    <row r="11" spans="1:14" x14ac:dyDescent="0.35">
      <c r="A11" s="17" t="s">
        <v>38</v>
      </c>
      <c r="B11" s="19">
        <f t="shared" si="1"/>
        <v>5000</v>
      </c>
      <c r="C11" s="17"/>
      <c r="D11" s="54">
        <v>5000</v>
      </c>
      <c r="E11" s="49">
        <v>0</v>
      </c>
      <c r="F11" s="6"/>
      <c r="G11" s="6"/>
      <c r="H11" s="6"/>
      <c r="I11" s="58"/>
      <c r="J11" s="59">
        <v>-10</v>
      </c>
      <c r="K11" s="59">
        <v>-5</v>
      </c>
      <c r="L11" s="59">
        <v>0</v>
      </c>
      <c r="M11" s="59">
        <v>5</v>
      </c>
      <c r="N11" s="59">
        <v>10</v>
      </c>
    </row>
    <row r="12" spans="1:14" x14ac:dyDescent="0.35">
      <c r="A12" s="17" t="s">
        <v>47</v>
      </c>
      <c r="B12" s="18">
        <f t="shared" si="1"/>
        <v>0.4</v>
      </c>
      <c r="C12" s="17"/>
      <c r="D12" s="49">
        <v>0.4</v>
      </c>
      <c r="E12" s="49">
        <v>0</v>
      </c>
      <c r="F12" s="6"/>
      <c r="G12" s="6"/>
      <c r="H12" s="6"/>
      <c r="I12" s="59" t="s">
        <v>24</v>
      </c>
      <c r="J12" s="65">
        <v>6874.5509056928749</v>
      </c>
      <c r="K12" s="65">
        <v>5332.8625898277996</v>
      </c>
      <c r="L12" s="65">
        <v>3791.1742739627184</v>
      </c>
      <c r="M12" s="65">
        <v>2249.485958097639</v>
      </c>
      <c r="N12" s="65">
        <v>707.79764223255734</v>
      </c>
    </row>
    <row r="13" spans="1:14" x14ac:dyDescent="0.35">
      <c r="A13" s="35" t="s">
        <v>85</v>
      </c>
      <c r="B13" s="36">
        <f>D13*(100%+E13)</f>
        <v>0</v>
      </c>
      <c r="C13" s="17"/>
      <c r="D13" s="49">
        <v>0</v>
      </c>
      <c r="E13" s="49">
        <v>0</v>
      </c>
      <c r="F13" s="6"/>
      <c r="G13" s="6"/>
      <c r="H13" s="6"/>
      <c r="I13" s="59" t="s">
        <v>62</v>
      </c>
      <c r="J13" s="23">
        <v>0.35259438460974324</v>
      </c>
      <c r="K13" s="23">
        <v>0.30819239604459758</v>
      </c>
      <c r="L13" s="23">
        <v>0.26325251341756095</v>
      </c>
      <c r="M13" s="23">
        <v>0.21770733830549172</v>
      </c>
      <c r="N13" s="23">
        <v>0.17147808681448407</v>
      </c>
    </row>
    <row r="14" spans="1:14" x14ac:dyDescent="0.35">
      <c r="A14" s="6" t="s">
        <v>86</v>
      </c>
      <c r="B14" s="35"/>
      <c r="D14" s="6"/>
      <c r="E14" s="6"/>
      <c r="F14" s="6"/>
      <c r="G14" s="6"/>
      <c r="H14" s="6"/>
      <c r="I14" s="59" t="s">
        <v>109</v>
      </c>
      <c r="J14" s="23">
        <v>0.2707792553881081</v>
      </c>
      <c r="K14" s="23">
        <v>0.24663659793790438</v>
      </c>
      <c r="L14" s="23">
        <v>0.2210037137994536</v>
      </c>
      <c r="M14" s="23">
        <v>0.19364652532907289</v>
      </c>
      <c r="N14" s="23">
        <v>0.16426741537799661</v>
      </c>
    </row>
    <row r="15" spans="1:14" x14ac:dyDescent="0.35">
      <c r="A15" s="5"/>
      <c r="B15" s="5">
        <v>0</v>
      </c>
      <c r="C15" s="5">
        <v>1</v>
      </c>
      <c r="D15" s="5">
        <v>2</v>
      </c>
      <c r="E15" s="5">
        <v>3</v>
      </c>
      <c r="F15" s="5">
        <v>4</v>
      </c>
      <c r="G15" s="6"/>
      <c r="H15" s="6"/>
      <c r="I15" s="59" t="s">
        <v>63</v>
      </c>
      <c r="J15" s="24">
        <v>2.2248677248677255</v>
      </c>
      <c r="K15" s="24">
        <v>2.4429920116194626</v>
      </c>
      <c r="L15" s="24">
        <v>2.7085346215780999</v>
      </c>
      <c r="M15" s="24">
        <v>3.0171793847383142</v>
      </c>
      <c r="N15" s="24">
        <v>3.189189189189189</v>
      </c>
    </row>
    <row r="16" spans="1:14" x14ac:dyDescent="0.35">
      <c r="A16" s="15" t="s">
        <v>31</v>
      </c>
      <c r="B16" s="6"/>
      <c r="C16" s="6"/>
      <c r="D16" s="6"/>
      <c r="E16" s="6"/>
      <c r="F16" s="6"/>
      <c r="G16" s="6"/>
      <c r="H16" s="6"/>
      <c r="I16" s="59" t="s">
        <v>64</v>
      </c>
      <c r="J16" s="24">
        <v>2.9436921296296301</v>
      </c>
      <c r="K16" s="24">
        <v>3.159104760187522</v>
      </c>
      <c r="L16" s="24">
        <v>3.3716084628506442</v>
      </c>
      <c r="M16" s="24">
        <v>3.6070350579304828</v>
      </c>
      <c r="N16" s="24">
        <v>3.8693050570101346</v>
      </c>
    </row>
    <row r="17" spans="1:14" x14ac:dyDescent="0.35">
      <c r="A17" s="6" t="s">
        <v>32</v>
      </c>
      <c r="B17" s="6">
        <f>-B3</f>
        <v>-9500</v>
      </c>
      <c r="C17" s="6"/>
      <c r="D17" s="6"/>
      <c r="E17" s="6"/>
      <c r="F17" s="6"/>
      <c r="G17" s="6"/>
      <c r="H17" s="6"/>
    </row>
    <row r="18" spans="1:14" x14ac:dyDescent="0.35">
      <c r="A18" s="6" t="s">
        <v>33</v>
      </c>
      <c r="B18" s="6">
        <f>-B4</f>
        <v>-500</v>
      </c>
      <c r="C18" s="6"/>
      <c r="D18" s="6"/>
      <c r="E18" s="6"/>
      <c r="F18" s="6"/>
      <c r="G18" s="6"/>
      <c r="H18" s="6"/>
    </row>
    <row r="19" spans="1:14" x14ac:dyDescent="0.35">
      <c r="A19" s="6" t="s">
        <v>34</v>
      </c>
      <c r="B19" s="6">
        <f>-B7</f>
        <v>-4000</v>
      </c>
      <c r="C19" s="6"/>
      <c r="D19" s="6"/>
      <c r="E19" s="6"/>
      <c r="F19" s="6"/>
      <c r="G19" s="6"/>
      <c r="H19" s="6"/>
    </row>
    <row r="20" spans="1:14" x14ac:dyDescent="0.35">
      <c r="A20" s="7" t="s">
        <v>35</v>
      </c>
      <c r="B20" s="6">
        <f>SUM(B17:B19)</f>
        <v>-14000</v>
      </c>
      <c r="C20" s="6"/>
      <c r="D20" s="6"/>
      <c r="E20" s="6"/>
      <c r="F20" s="6"/>
      <c r="G20" s="6"/>
      <c r="H20" s="6"/>
    </row>
    <row r="21" spans="1:14" ht="11.5" customHeight="1" x14ac:dyDescent="0.35">
      <c r="A21" s="6"/>
      <c r="B21" s="6"/>
      <c r="C21" s="6"/>
      <c r="D21" s="6"/>
      <c r="E21" s="6"/>
      <c r="F21" s="6"/>
      <c r="G21" s="6"/>
      <c r="H21" s="6"/>
    </row>
    <row r="22" spans="1:14" ht="18.5" x14ac:dyDescent="0.45">
      <c r="A22" s="15" t="s">
        <v>59</v>
      </c>
      <c r="B22" s="6"/>
      <c r="C22" s="6"/>
      <c r="D22" s="6"/>
      <c r="E22" s="6"/>
      <c r="F22" s="6"/>
      <c r="G22" s="6"/>
      <c r="H22" s="6"/>
      <c r="I22" s="66" t="s">
        <v>123</v>
      </c>
      <c r="J22" s="67" t="s">
        <v>120</v>
      </c>
      <c r="K22" s="67" t="s">
        <v>127</v>
      </c>
      <c r="L22" s="67" t="s">
        <v>24</v>
      </c>
      <c r="M22" s="67" t="s">
        <v>128</v>
      </c>
      <c r="N22" s="67" t="s">
        <v>129</v>
      </c>
    </row>
    <row r="23" spans="1:14" ht="18.5" x14ac:dyDescent="0.45">
      <c r="A23" s="35" t="s">
        <v>36</v>
      </c>
      <c r="B23" s="6"/>
      <c r="C23" s="32">
        <f>$B$8*$B$9*(1+$B$13)</f>
        <v>30000</v>
      </c>
      <c r="D23" s="32">
        <f>C23*(1+$B$13)</f>
        <v>30000</v>
      </c>
      <c r="E23" s="32">
        <f>D23*(1+$B$13)</f>
        <v>30000</v>
      </c>
      <c r="F23" s="32">
        <f>E23*(1+$B$13)</f>
        <v>30000</v>
      </c>
      <c r="G23" s="6"/>
      <c r="H23" s="6"/>
      <c r="I23" s="68" t="s">
        <v>124</v>
      </c>
      <c r="J23" s="75">
        <v>20000</v>
      </c>
      <c r="K23" s="75">
        <v>2500</v>
      </c>
      <c r="L23" s="78">
        <v>17495.070414985701</v>
      </c>
      <c r="M23" s="75">
        <v>0.2</v>
      </c>
      <c r="N23" s="79">
        <f>L23*M23</f>
        <v>3499.0140829971406</v>
      </c>
    </row>
    <row r="24" spans="1:14" ht="18.5" x14ac:dyDescent="0.45">
      <c r="A24" s="37" t="s">
        <v>37</v>
      </c>
      <c r="B24" s="6"/>
      <c r="C24" s="32">
        <f>-C23*$B$10</f>
        <v>-18000</v>
      </c>
      <c r="D24" s="32">
        <f t="shared" ref="D24:F24" si="2">-D23*$B$10</f>
        <v>-18000</v>
      </c>
      <c r="E24" s="32">
        <f t="shared" si="2"/>
        <v>-18000</v>
      </c>
      <c r="F24" s="32">
        <f t="shared" si="2"/>
        <v>-18000</v>
      </c>
      <c r="G24" s="6"/>
      <c r="H24" s="6"/>
      <c r="I24" s="70" t="s">
        <v>125</v>
      </c>
      <c r="J24" s="76">
        <v>15000</v>
      </c>
      <c r="K24" s="76">
        <v>2000</v>
      </c>
      <c r="L24" s="80">
        <v>3791.1742739627184</v>
      </c>
      <c r="M24" s="76">
        <v>0.6</v>
      </c>
      <c r="N24" s="81">
        <f t="shared" ref="N24:N25" si="3">L24*M24</f>
        <v>2274.704564377631</v>
      </c>
    </row>
    <row r="25" spans="1:14" ht="18.5" x14ac:dyDescent="0.45">
      <c r="A25" s="38" t="s">
        <v>38</v>
      </c>
      <c r="B25" s="16"/>
      <c r="C25" s="33">
        <f>-B11*(1+$B$13)</f>
        <v>-5000</v>
      </c>
      <c r="D25" s="33">
        <f>C25*(1+$B$13)</f>
        <v>-5000</v>
      </c>
      <c r="E25" s="33">
        <f>D25*(1+$B$13)</f>
        <v>-5000</v>
      </c>
      <c r="F25" s="33">
        <f>E25*(1+$B$13)</f>
        <v>-5000</v>
      </c>
      <c r="G25" s="6"/>
      <c r="H25" s="6"/>
      <c r="I25" s="71" t="s">
        <v>126</v>
      </c>
      <c r="J25" s="77">
        <v>10000</v>
      </c>
      <c r="K25" s="77">
        <v>1500</v>
      </c>
      <c r="L25" s="82">
        <v>-7776.7089168492093</v>
      </c>
      <c r="M25" s="77">
        <v>0.2</v>
      </c>
      <c r="N25" s="83">
        <f t="shared" si="3"/>
        <v>-1555.341783369842</v>
      </c>
    </row>
    <row r="26" spans="1:14" ht="18.5" x14ac:dyDescent="0.45">
      <c r="A26" s="7" t="s">
        <v>45</v>
      </c>
      <c r="B26" s="6"/>
      <c r="C26" s="34">
        <f>SUM(C23:C25)</f>
        <v>7000</v>
      </c>
      <c r="D26" s="34">
        <f>SUM(D23:D25)</f>
        <v>7000</v>
      </c>
      <c r="E26" s="34">
        <f>SUM(E23:E25)</f>
        <v>7000</v>
      </c>
      <c r="F26" s="34">
        <f>SUM(F23:F25)</f>
        <v>7000</v>
      </c>
      <c r="G26" s="6"/>
      <c r="H26" s="6"/>
      <c r="I26" s="68"/>
      <c r="J26" s="68"/>
      <c r="K26" s="68"/>
      <c r="L26" s="68"/>
      <c r="M26" s="74" t="s">
        <v>130</v>
      </c>
      <c r="N26" s="69">
        <f>SUM(N23:N25)</f>
        <v>4218.3768640049293</v>
      </c>
    </row>
    <row r="27" spans="1:14" ht="18.5" x14ac:dyDescent="0.45">
      <c r="A27" s="16" t="s">
        <v>43</v>
      </c>
      <c r="B27" s="16"/>
      <c r="C27" s="33">
        <f>($B$17+$B$18)*C57</f>
        <v>-2000</v>
      </c>
      <c r="D27" s="33">
        <f>($B$17+$B$18)*D57</f>
        <v>-3200</v>
      </c>
      <c r="E27" s="33">
        <f>($B$17+$B$18)*E57</f>
        <v>-1920</v>
      </c>
      <c r="F27" s="33">
        <f>($B$17+$B$18)*F57</f>
        <v>-1152</v>
      </c>
      <c r="G27" s="6"/>
      <c r="H27" s="6"/>
      <c r="I27" s="68"/>
      <c r="J27" s="68"/>
      <c r="K27" s="68"/>
      <c r="L27" s="68"/>
      <c r="M27" s="74" t="s">
        <v>131</v>
      </c>
      <c r="N27" s="72">
        <f>SQRT((M23*(L23-N26)^2+M24*(L24-N26)^2+M25*(L25-N26)^2))</f>
        <v>8008.7474762976499</v>
      </c>
    </row>
    <row r="28" spans="1:14" ht="18.5" x14ac:dyDescent="0.45">
      <c r="A28" s="7" t="s">
        <v>48</v>
      </c>
      <c r="B28" s="6"/>
      <c r="C28" s="34">
        <f>C26+C27</f>
        <v>5000</v>
      </c>
      <c r="D28" s="34">
        <f t="shared" ref="D28:F28" si="4">D26+D27</f>
        <v>3800</v>
      </c>
      <c r="E28" s="34">
        <f t="shared" si="4"/>
        <v>5080</v>
      </c>
      <c r="F28" s="34">
        <f t="shared" si="4"/>
        <v>5848</v>
      </c>
      <c r="G28" s="6"/>
      <c r="H28" s="6"/>
      <c r="I28" s="68"/>
      <c r="J28" s="68"/>
      <c r="K28" s="68"/>
      <c r="L28" s="68"/>
      <c r="M28" s="74" t="s">
        <v>132</v>
      </c>
      <c r="N28" s="73">
        <f>N27/N26</f>
        <v>1.898537692218931</v>
      </c>
    </row>
    <row r="29" spans="1:14" x14ac:dyDescent="0.35">
      <c r="A29" s="8" t="s">
        <v>112</v>
      </c>
      <c r="B29" s="8"/>
      <c r="C29" s="52">
        <f>IF(B28+B29&lt;0,B28+B29,0)</f>
        <v>0</v>
      </c>
      <c r="D29" s="52">
        <f>IF(C28+C29&lt;0,C28+C29,0)</f>
        <v>0</v>
      </c>
      <c r="E29" s="52">
        <f t="shared" ref="E29" si="5">IF(D28+D29&lt;0,D28+D29,0)</f>
        <v>0</v>
      </c>
      <c r="F29" s="52">
        <f>IF(E28+E29&lt;0,E28+E29,0)</f>
        <v>0</v>
      </c>
      <c r="G29" s="6"/>
      <c r="H29" s="6"/>
    </row>
    <row r="30" spans="1:14" x14ac:dyDescent="0.35">
      <c r="A30" s="16" t="s">
        <v>46</v>
      </c>
      <c r="B30" s="16"/>
      <c r="C30" s="33">
        <f>IF(C28+C29&lt;0,0,-(C28+C29)*$B$12)</f>
        <v>-2000</v>
      </c>
      <c r="D30" s="33">
        <f t="shared" ref="D30:F30" si="6">IF(D28+D29&lt;0,0,-(D28+D29)*$B$12)</f>
        <v>-1520</v>
      </c>
      <c r="E30" s="33">
        <f t="shared" si="6"/>
        <v>-2032</v>
      </c>
      <c r="F30" s="33">
        <f t="shared" si="6"/>
        <v>-2339.2000000000003</v>
      </c>
      <c r="G30" s="6"/>
      <c r="H30" s="6"/>
    </row>
    <row r="31" spans="1:14" x14ac:dyDescent="0.35">
      <c r="A31" s="7" t="s">
        <v>49</v>
      </c>
      <c r="B31" s="6"/>
      <c r="C31" s="34">
        <f>C28+C30</f>
        <v>3000</v>
      </c>
      <c r="D31" s="34">
        <f>D28+D30</f>
        <v>2280</v>
      </c>
      <c r="E31" s="34">
        <f>E28+E30</f>
        <v>3048</v>
      </c>
      <c r="F31" s="34">
        <f>F28+F30</f>
        <v>3508.7999999999997</v>
      </c>
      <c r="G31" s="6"/>
      <c r="H31" s="6"/>
    </row>
    <row r="32" spans="1:14" x14ac:dyDescent="0.35">
      <c r="A32" s="16" t="s">
        <v>55</v>
      </c>
      <c r="B32" s="16"/>
      <c r="C32" s="33">
        <f>-C27</f>
        <v>2000</v>
      </c>
      <c r="D32" s="33">
        <f>-D27</f>
        <v>3200</v>
      </c>
      <c r="E32" s="33">
        <f>-E27</f>
        <v>1920</v>
      </c>
      <c r="F32" s="33">
        <f>-F27</f>
        <v>1152</v>
      </c>
      <c r="G32" s="6"/>
      <c r="H32" s="6"/>
    </row>
    <row r="33" spans="1:9" x14ac:dyDescent="0.35">
      <c r="A33" s="7" t="s">
        <v>58</v>
      </c>
      <c r="B33" s="6"/>
      <c r="C33" s="34">
        <f>C31+C32</f>
        <v>5000</v>
      </c>
      <c r="D33" s="34">
        <f t="shared" ref="D33:F33" si="7">D31+D32</f>
        <v>5480</v>
      </c>
      <c r="E33" s="34">
        <f t="shared" si="7"/>
        <v>4968</v>
      </c>
      <c r="F33" s="34">
        <f t="shared" si="7"/>
        <v>4660.7999999999993</v>
      </c>
      <c r="G33" s="6"/>
      <c r="H33" s="6"/>
    </row>
    <row r="34" spans="1:9" ht="6.65" customHeight="1" x14ac:dyDescent="0.35">
      <c r="A34" s="6"/>
      <c r="B34" s="6"/>
      <c r="C34" s="6"/>
      <c r="D34" s="6"/>
      <c r="E34" s="6"/>
      <c r="F34" s="6"/>
      <c r="G34" s="6"/>
      <c r="H34" s="6"/>
    </row>
    <row r="35" spans="1:9" x14ac:dyDescent="0.35">
      <c r="A35" s="15" t="s">
        <v>51</v>
      </c>
      <c r="B35" s="6"/>
      <c r="C35" s="6"/>
      <c r="D35" s="6"/>
      <c r="E35" s="6"/>
      <c r="F35" s="6"/>
      <c r="G35" s="6"/>
      <c r="H35" s="6"/>
    </row>
    <row r="36" spans="1:9" x14ac:dyDescent="0.35">
      <c r="A36" s="6" t="s">
        <v>56</v>
      </c>
      <c r="B36" s="6"/>
      <c r="C36" s="6"/>
      <c r="D36" s="6"/>
      <c r="E36" s="6"/>
      <c r="F36" s="6">
        <f>B5</f>
        <v>2000</v>
      </c>
      <c r="G36" s="6"/>
      <c r="H36" s="6"/>
    </row>
    <row r="37" spans="1:9" x14ac:dyDescent="0.35">
      <c r="A37" s="8" t="s">
        <v>54</v>
      </c>
      <c r="B37" s="6"/>
      <c r="C37" s="6"/>
      <c r="D37" s="6"/>
      <c r="E37" s="6"/>
      <c r="F37" s="6">
        <f>-(B5-F59)*B12</f>
        <v>-108.80000000000001</v>
      </c>
      <c r="G37" s="6"/>
      <c r="H37" s="6"/>
    </row>
    <row r="38" spans="1:9" x14ac:dyDescent="0.35">
      <c r="A38" s="16" t="s">
        <v>57</v>
      </c>
      <c r="B38" s="16"/>
      <c r="C38" s="16"/>
      <c r="D38" s="16"/>
      <c r="E38" s="16"/>
      <c r="F38" s="16">
        <f>B7</f>
        <v>4000</v>
      </c>
      <c r="G38" s="6"/>
      <c r="H38" s="6"/>
    </row>
    <row r="39" spans="1:9" x14ac:dyDescent="0.35">
      <c r="A39" s="7" t="s">
        <v>60</v>
      </c>
      <c r="B39" s="6"/>
      <c r="C39" s="6"/>
      <c r="D39" s="6"/>
      <c r="E39" s="6"/>
      <c r="F39" s="7">
        <f>SUM(F36:F38)</f>
        <v>5891.2</v>
      </c>
      <c r="G39" s="6"/>
      <c r="H39" s="6"/>
    </row>
    <row r="40" spans="1:9" ht="9.15" customHeight="1" x14ac:dyDescent="0.35">
      <c r="A40" s="6"/>
      <c r="B40" s="6"/>
      <c r="C40" s="6"/>
      <c r="D40" s="6"/>
      <c r="E40" s="6"/>
      <c r="F40" s="6"/>
      <c r="G40" s="6"/>
      <c r="H40" s="6"/>
    </row>
    <row r="41" spans="1:9" x14ac:dyDescent="0.35">
      <c r="A41" s="27" t="s">
        <v>61</v>
      </c>
      <c r="B41" s="28">
        <f>B20</f>
        <v>-14000</v>
      </c>
      <c r="C41" s="28">
        <f>C33</f>
        <v>5000</v>
      </c>
      <c r="D41" s="28">
        <f t="shared" ref="D41:E41" si="8">D33</f>
        <v>5480</v>
      </c>
      <c r="E41" s="28">
        <f t="shared" si="8"/>
        <v>4968</v>
      </c>
      <c r="F41" s="28">
        <f>F33+F39</f>
        <v>10552</v>
      </c>
      <c r="G41" s="6"/>
      <c r="H41" s="6"/>
    </row>
    <row r="42" spans="1:9" outlineLevel="1" x14ac:dyDescent="0.35">
      <c r="A42" s="7" t="s">
        <v>29</v>
      </c>
      <c r="B42" s="9">
        <f>B41/(1+$E$50)^B15</f>
        <v>-14000</v>
      </c>
      <c r="C42" s="9">
        <f>C41/(1+$E$50)^C15</f>
        <v>4347.826086956522</v>
      </c>
      <c r="D42" s="9">
        <f>D41/(1+$E$50)^D15</f>
        <v>4143.6672967863897</v>
      </c>
      <c r="E42" s="9">
        <f>E41/(1+$E$50)^E15</f>
        <v>3266.5406427221183</v>
      </c>
      <c r="F42" s="9">
        <f>F41/(1+$E$50)^F15</f>
        <v>6033.1402474976885</v>
      </c>
      <c r="G42" s="6"/>
      <c r="H42" s="6" t="s">
        <v>135</v>
      </c>
      <c r="I42" s="84">
        <f>SUM(B41:F41)</f>
        <v>12000</v>
      </c>
    </row>
    <row r="43" spans="1:9" outlineLevel="1" x14ac:dyDescent="0.35">
      <c r="A43" s="6" t="s">
        <v>66</v>
      </c>
      <c r="B43" s="10">
        <f>B41</f>
        <v>-14000</v>
      </c>
      <c r="C43" s="10">
        <f t="shared" ref="C43:F44" si="9">B43+C41</f>
        <v>-9000</v>
      </c>
      <c r="D43" s="10">
        <f t="shared" si="9"/>
        <v>-3520</v>
      </c>
      <c r="E43" s="10">
        <f t="shared" si="9"/>
        <v>1448</v>
      </c>
      <c r="F43" s="10">
        <f t="shared" si="9"/>
        <v>12000</v>
      </c>
      <c r="G43" s="6"/>
      <c r="H43" s="6" t="s">
        <v>136</v>
      </c>
      <c r="I43" s="84">
        <f>SUM(B45:F45)</f>
        <v>8977.3323565882147</v>
      </c>
    </row>
    <row r="44" spans="1:9" outlineLevel="1" x14ac:dyDescent="0.35">
      <c r="A44" s="6" t="s">
        <v>67</v>
      </c>
      <c r="B44" s="10">
        <f>B42</f>
        <v>-14000</v>
      </c>
      <c r="C44" s="10">
        <f t="shared" si="9"/>
        <v>-9652.173913043478</v>
      </c>
      <c r="D44" s="10">
        <f t="shared" si="9"/>
        <v>-5508.5066162570884</v>
      </c>
      <c r="E44" s="10">
        <f t="shared" si="9"/>
        <v>-2241.9659735349701</v>
      </c>
      <c r="F44" s="10">
        <f t="shared" si="9"/>
        <v>3791.1742739627184</v>
      </c>
      <c r="G44" s="6"/>
      <c r="H44" s="6" t="s">
        <v>29</v>
      </c>
      <c r="I44" s="61">
        <f>B50</f>
        <v>3791.1742739627184</v>
      </c>
    </row>
    <row r="45" spans="1:9" ht="15.65" customHeight="1" outlineLevel="1" x14ac:dyDescent="0.35">
      <c r="A45" s="58" t="s">
        <v>331</v>
      </c>
      <c r="B45" s="85">
        <f>B41*(1+$E$54)^B15/(1+$E$50)^B15</f>
        <v>-14000</v>
      </c>
      <c r="C45" s="85">
        <f>C41*(1+$E$54)^C15/(1+$E$50)^C15</f>
        <v>4782.608695652174</v>
      </c>
      <c r="D45" s="85">
        <f>D41*(1+$E$54)^D15/(1+$E$50)^D15</f>
        <v>5013.8374291115324</v>
      </c>
      <c r="E45" s="85">
        <f>E41*(1+$E$54)^E15/(1+$E$50)^E15</f>
        <v>4347.7655954631409</v>
      </c>
      <c r="F45" s="85">
        <f>F41*(1+$E$54)^F15/(1+$E$50)^F15</f>
        <v>8833.1206363613674</v>
      </c>
      <c r="G45" s="6"/>
      <c r="H45" s="6" t="s">
        <v>137</v>
      </c>
      <c r="I45" s="61">
        <f>I42-I43</f>
        <v>3022.6676434117853</v>
      </c>
    </row>
    <row r="46" spans="1:9" outlineLevel="1" x14ac:dyDescent="0.35">
      <c r="A46" s="58" t="s">
        <v>137</v>
      </c>
      <c r="B46" s="85">
        <f>B41-B45</f>
        <v>0</v>
      </c>
      <c r="C46" s="85">
        <f>C41-C45</f>
        <v>217.39130434782601</v>
      </c>
      <c r="D46" s="85">
        <f t="shared" ref="D46:F46" si="10">D41-D45</f>
        <v>466.1625708884676</v>
      </c>
      <c r="E46" s="85">
        <f t="shared" si="10"/>
        <v>620.23440453685907</v>
      </c>
      <c r="F46" s="85">
        <f t="shared" si="10"/>
        <v>1718.8793636386326</v>
      </c>
      <c r="G46" s="6"/>
      <c r="H46" s="6" t="s">
        <v>139</v>
      </c>
      <c r="I46" s="61">
        <f>I43-I44</f>
        <v>5186.1580826254958</v>
      </c>
    </row>
    <row r="47" spans="1:9" outlineLevel="1" x14ac:dyDescent="0.35">
      <c r="A47" s="58" t="s">
        <v>138</v>
      </c>
      <c r="B47" s="85">
        <f>B45-B42</f>
        <v>0</v>
      </c>
      <c r="C47" s="85">
        <f>C45-C42</f>
        <v>434.78260869565202</v>
      </c>
      <c r="D47" s="85">
        <f>D45-D42</f>
        <v>870.17013232514273</v>
      </c>
      <c r="E47" s="85">
        <f>E45-E42</f>
        <v>1081.2249527410227</v>
      </c>
      <c r="F47" s="85">
        <f>F45-F42</f>
        <v>2799.9803888636789</v>
      </c>
      <c r="G47" s="6"/>
      <c r="H47" s="6"/>
      <c r="I47" s="61"/>
    </row>
    <row r="48" spans="1:9" outlineLevel="1" x14ac:dyDescent="0.35">
      <c r="A48" s="58" t="s">
        <v>332</v>
      </c>
      <c r="B48" s="85">
        <f>B42+B46+B47</f>
        <v>-14000</v>
      </c>
      <c r="C48" s="85">
        <f>C42+C46+C47</f>
        <v>5000</v>
      </c>
      <c r="D48" s="85">
        <f t="shared" ref="D48:F48" si="11">D42+D46+D47</f>
        <v>5480</v>
      </c>
      <c r="E48" s="85">
        <f t="shared" si="11"/>
        <v>4968</v>
      </c>
      <c r="F48" s="85">
        <f t="shared" si="11"/>
        <v>10552</v>
      </c>
      <c r="G48" s="6"/>
      <c r="H48" s="6"/>
      <c r="I48" s="84"/>
    </row>
    <row r="49" spans="1:14" x14ac:dyDescent="0.35">
      <c r="A49" s="6"/>
      <c r="B49" s="6"/>
      <c r="C49" s="119"/>
      <c r="D49" s="6"/>
      <c r="E49" s="6"/>
      <c r="F49" s="6"/>
      <c r="G49" s="6"/>
      <c r="H49" s="6"/>
    </row>
    <row r="50" spans="1:14" x14ac:dyDescent="0.35">
      <c r="A50" s="21" t="s">
        <v>24</v>
      </c>
      <c r="B50" s="22">
        <f>SUM(B42:F42)</f>
        <v>3791.1742739627184</v>
      </c>
      <c r="C50" s="25"/>
      <c r="D50" s="21" t="s">
        <v>65</v>
      </c>
      <c r="E50" s="56">
        <f>F50*(100%+G50)</f>
        <v>0.15</v>
      </c>
      <c r="F50" s="49">
        <v>0.15</v>
      </c>
      <c r="G50" s="49">
        <v>0</v>
      </c>
      <c r="H50" s="6"/>
    </row>
    <row r="51" spans="1:14" x14ac:dyDescent="0.35">
      <c r="A51" s="21" t="s">
        <v>62</v>
      </c>
      <c r="B51" s="23">
        <f>IRR(B41:F41)</f>
        <v>0.26325251341756095</v>
      </c>
      <c r="C51" s="25"/>
      <c r="D51" s="25" t="s">
        <v>89</v>
      </c>
      <c r="E51" s="25"/>
      <c r="F51" s="6"/>
      <c r="G51" s="6"/>
      <c r="H51" s="6"/>
    </row>
    <row r="52" spans="1:14" x14ac:dyDescent="0.35">
      <c r="A52" s="21" t="s">
        <v>109</v>
      </c>
      <c r="B52" s="23">
        <f>MIRR(B41:F41,E50,E50)</f>
        <v>0.2210037137994536</v>
      </c>
      <c r="C52" s="25"/>
      <c r="D52" s="25" t="s">
        <v>90</v>
      </c>
      <c r="E52" s="25"/>
      <c r="F52" s="6"/>
      <c r="G52" s="6"/>
      <c r="H52" s="6"/>
    </row>
    <row r="53" spans="1:14" x14ac:dyDescent="0.35">
      <c r="A53" s="21" t="s">
        <v>63</v>
      </c>
      <c r="B53" s="24">
        <f>MATCH(0,B43:F43)-1+-INDEX(B43:F43,1,MATCH(0,B43:F43))/INDEX(C41:F41,1,MATCH(0,B43:F43))</f>
        <v>2.7085346215780999</v>
      </c>
      <c r="C53" s="25"/>
      <c r="D53" s="25" t="s">
        <v>91</v>
      </c>
      <c r="E53" s="25"/>
      <c r="F53" s="6"/>
      <c r="G53" s="6"/>
      <c r="H53" s="6"/>
    </row>
    <row r="54" spans="1:14" x14ac:dyDescent="0.35">
      <c r="A54" s="21" t="s">
        <v>64</v>
      </c>
      <c r="B54" s="24">
        <f>MATCH(0,B44:F44)-1+-INDEX(B44:F44,1,MATCH(0,B44:F44))/INDEX(C42:F42,1,MATCH(0,B44:F44))</f>
        <v>3.3716084628506442</v>
      </c>
      <c r="C54" s="25"/>
      <c r="D54" s="21" t="s">
        <v>133</v>
      </c>
      <c r="E54" s="26">
        <v>0.1</v>
      </c>
      <c r="F54" s="6"/>
      <c r="G54" s="6"/>
      <c r="H54" s="6"/>
    </row>
    <row r="55" spans="1:14" x14ac:dyDescent="0.35">
      <c r="A55" s="6"/>
      <c r="B55" s="6"/>
      <c r="C55" s="6"/>
      <c r="D55" s="6"/>
      <c r="E55" s="6"/>
      <c r="F55" s="6"/>
      <c r="G55" s="6"/>
      <c r="H55" s="6"/>
    </row>
    <row r="56" spans="1:14" x14ac:dyDescent="0.35">
      <c r="A56" s="17" t="s">
        <v>50</v>
      </c>
      <c r="B56" s="17"/>
      <c r="C56" s="17"/>
      <c r="D56" s="17"/>
      <c r="E56" s="17"/>
      <c r="F56" s="17"/>
      <c r="G56" s="17"/>
      <c r="H56" s="17"/>
    </row>
    <row r="57" spans="1:14" x14ac:dyDescent="0.35">
      <c r="A57" s="17" t="s">
        <v>44</v>
      </c>
      <c r="B57" s="17"/>
      <c r="C57" s="18">
        <v>0.2</v>
      </c>
      <c r="D57" s="18">
        <v>0.32</v>
      </c>
      <c r="E57" s="20">
        <v>0.192</v>
      </c>
      <c r="F57" s="20">
        <v>0.1152</v>
      </c>
      <c r="G57" s="20">
        <v>0.1152</v>
      </c>
      <c r="H57" s="20">
        <v>5.7599999999999998E-2</v>
      </c>
    </row>
    <row r="58" spans="1:14" x14ac:dyDescent="0.35">
      <c r="A58" s="17"/>
      <c r="B58" s="17"/>
      <c r="C58" s="17"/>
      <c r="D58" s="17"/>
      <c r="E58" s="17"/>
      <c r="F58" s="17"/>
      <c r="G58" s="17"/>
      <c r="H58" s="17"/>
    </row>
    <row r="59" spans="1:14" x14ac:dyDescent="0.35">
      <c r="A59" s="17" t="s">
        <v>53</v>
      </c>
      <c r="B59" s="17">
        <f>B3+B4</f>
        <v>10000</v>
      </c>
      <c r="C59" s="17">
        <f>B59-C57*$B$59</f>
        <v>8000</v>
      </c>
      <c r="D59" s="17">
        <f t="shared" ref="D59:H59" si="12">C59-D57*$B$59</f>
        <v>4800</v>
      </c>
      <c r="E59" s="17">
        <f t="shared" si="12"/>
        <v>2880</v>
      </c>
      <c r="F59" s="17">
        <f t="shared" si="12"/>
        <v>1728</v>
      </c>
      <c r="G59" s="17">
        <f t="shared" si="12"/>
        <v>576</v>
      </c>
      <c r="H59" s="17">
        <f t="shared" si="12"/>
        <v>0</v>
      </c>
    </row>
    <row r="60" spans="1:14" x14ac:dyDescent="0.35">
      <c r="A60" s="6"/>
      <c r="B60" s="6"/>
      <c r="C60" s="6"/>
      <c r="D60" s="6"/>
      <c r="E60" s="6"/>
      <c r="F60" s="6"/>
      <c r="G60" s="6"/>
      <c r="H60" s="6"/>
    </row>
    <row r="61" spans="1:14" x14ac:dyDescent="0.35">
      <c r="D61" t="s">
        <v>140</v>
      </c>
    </row>
    <row r="62" spans="1:14" x14ac:dyDescent="0.35">
      <c r="A62" s="60" t="s">
        <v>122</v>
      </c>
    </row>
    <row r="63" spans="1:14" x14ac:dyDescent="0.35">
      <c r="B63" s="204" t="s">
        <v>120</v>
      </c>
      <c r="C63" s="204"/>
      <c r="D63" s="204"/>
      <c r="E63" s="204"/>
      <c r="F63" s="204"/>
      <c r="G63" s="204"/>
      <c r="I63" s="204" t="s">
        <v>121</v>
      </c>
      <c r="J63" s="204"/>
      <c r="K63" s="204"/>
      <c r="L63" s="204"/>
      <c r="M63" s="204"/>
      <c r="N63" s="204"/>
    </row>
    <row r="64" spans="1:14" x14ac:dyDescent="0.35">
      <c r="C64" s="21" t="s">
        <v>24</v>
      </c>
      <c r="D64" s="21" t="s">
        <v>62</v>
      </c>
      <c r="E64" s="21" t="s">
        <v>109</v>
      </c>
      <c r="F64" s="21" t="s">
        <v>63</v>
      </c>
      <c r="G64" s="21" t="s">
        <v>64</v>
      </c>
      <c r="J64" s="21" t="s">
        <v>24</v>
      </c>
      <c r="K64" s="21" t="s">
        <v>62</v>
      </c>
      <c r="L64" s="21" t="s">
        <v>109</v>
      </c>
      <c r="M64" s="21" t="s">
        <v>63</v>
      </c>
      <c r="N64" s="21" t="s">
        <v>64</v>
      </c>
    </row>
    <row r="65" spans="1:14" x14ac:dyDescent="0.35">
      <c r="A65" s="57">
        <v>0</v>
      </c>
      <c r="B65" s="57">
        <v>15000</v>
      </c>
      <c r="C65" s="61">
        <f>$B$50</f>
        <v>3791.1742739627184</v>
      </c>
      <c r="D65" s="62">
        <f>$B$51</f>
        <v>0.26325251341756095</v>
      </c>
      <c r="E65" s="62">
        <f>$B$52</f>
        <v>0.2210037137994536</v>
      </c>
      <c r="F65" s="63">
        <f>$B$53</f>
        <v>2.7085346215780999</v>
      </c>
      <c r="G65" s="63">
        <f>$B$54</f>
        <v>3.3716084628506442</v>
      </c>
      <c r="I65" s="57">
        <v>0.6</v>
      </c>
      <c r="J65" s="61">
        <f>$B$50</f>
        <v>3791.1742739627184</v>
      </c>
      <c r="K65" s="62">
        <f>$B$51</f>
        <v>0.26325251341756095</v>
      </c>
      <c r="L65" s="62">
        <f>$B$52</f>
        <v>0.2210037137994536</v>
      </c>
      <c r="M65" s="63">
        <f>$B$53</f>
        <v>2.7085346215780999</v>
      </c>
      <c r="N65" s="63">
        <f>$B$54</f>
        <v>3.3716084628506442</v>
      </c>
    </row>
    <row r="66" spans="1:14" x14ac:dyDescent="0.35">
      <c r="A66" s="64">
        <v>-0.5</v>
      </c>
      <c r="B66" s="57">
        <f>$B$65*(1+$A66)</f>
        <v>7500</v>
      </c>
      <c r="C66" s="61">
        <f t="dataTable" ref="C66:G86" dt2D="0" dtr="0" r1="D8" ca="1"/>
        <v>-7776.7089168492093</v>
      </c>
      <c r="D66" s="62">
        <v>-9.5961471717051494E-2</v>
      </c>
      <c r="E66" s="62">
        <v>-6.0988610131410326E-2</v>
      </c>
      <c r="F66" s="63" t="e">
        <v>#REF!</v>
      </c>
      <c r="G66" s="63" t="e">
        <v>#REF!</v>
      </c>
      <c r="I66" s="57">
        <f>$I$65*(1+$A66)</f>
        <v>0.3</v>
      </c>
      <c r="J66" s="61">
        <f t="dataTable" ref="J66:N86" dt2D="0" dtr="0" r1="D10" ca="1"/>
        <v>19208.057432613525</v>
      </c>
      <c r="K66" s="62">
        <v>0.69404266650692614</v>
      </c>
      <c r="L66" s="62">
        <v>0.42717325764149372</v>
      </c>
      <c r="M66" s="63">
        <v>1.3308823529411764</v>
      </c>
      <c r="N66" s="63">
        <v>1.6024816176470587</v>
      </c>
    </row>
    <row r="67" spans="1:14" x14ac:dyDescent="0.35">
      <c r="A67" s="64">
        <f>A66+5%</f>
        <v>-0.45</v>
      </c>
      <c r="B67" s="57">
        <f t="shared" ref="B67:B86" si="13">$B$65*(1+$A67)</f>
        <v>8250</v>
      </c>
      <c r="C67" s="61">
        <v>-6063.7218992213402</v>
      </c>
      <c r="D67" s="62">
        <v>-3.9345968113989382E-2</v>
      </c>
      <c r="E67" s="62">
        <v>-2.1389960318555223E-3</v>
      </c>
      <c r="F67" s="63" t="e">
        <v>#REF!</v>
      </c>
      <c r="G67" s="63" t="e">
        <v>#REF!</v>
      </c>
      <c r="I67" s="57">
        <f t="shared" ref="I67:I86" si="14">$I$65*(1+$A67)</f>
        <v>0.33</v>
      </c>
      <c r="J67" s="61">
        <v>17666.369116748447</v>
      </c>
      <c r="K67" s="62">
        <v>0.65237772606290267</v>
      </c>
      <c r="L67" s="62">
        <v>0.41031264184349903</v>
      </c>
      <c r="M67" s="63">
        <v>1.4003868471953578</v>
      </c>
      <c r="N67" s="63">
        <v>1.6940038684719534</v>
      </c>
    </row>
    <row r="68" spans="1:14" x14ac:dyDescent="0.35">
      <c r="A68" s="64">
        <f>A67+5%</f>
        <v>-0.4</v>
      </c>
      <c r="B68" s="57">
        <f t="shared" si="13"/>
        <v>9000</v>
      </c>
      <c r="C68" s="61">
        <v>-4495.3141248065849</v>
      </c>
      <c r="D68" s="62">
        <v>1.0940955522472651E-2</v>
      </c>
      <c r="E68" s="62">
        <v>4.3879270746515431E-2</v>
      </c>
      <c r="F68" s="63">
        <v>3.9396984924623117</v>
      </c>
      <c r="G68" s="63" t="e">
        <v>#REF!</v>
      </c>
      <c r="I68" s="57">
        <f t="shared" si="14"/>
        <v>0.36</v>
      </c>
      <c r="J68" s="61">
        <v>16124.680800883365</v>
      </c>
      <c r="K68" s="62">
        <v>0.61047720439896547</v>
      </c>
      <c r="L68" s="62">
        <v>0.39282465205787398</v>
      </c>
      <c r="M68" s="63">
        <v>1.4775510204081632</v>
      </c>
      <c r="N68" s="63">
        <v>1.795612244897959</v>
      </c>
    </row>
    <row r="69" spans="1:14" x14ac:dyDescent="0.35">
      <c r="A69" s="64">
        <f t="shared" ref="A69:A86" si="15">A68+5%</f>
        <v>-0.35000000000000003</v>
      </c>
      <c r="B69" s="57">
        <f t="shared" si="13"/>
        <v>9749.9999999999982</v>
      </c>
      <c r="C69" s="61">
        <v>-3419.1515896526962</v>
      </c>
      <c r="D69" s="62">
        <v>4.3938522483932374E-2</v>
      </c>
      <c r="E69" s="62">
        <v>7.2249752164182945E-2</v>
      </c>
      <c r="F69" s="63">
        <v>3.760956175298805</v>
      </c>
      <c r="G69" s="63" t="e">
        <v>#REF!</v>
      </c>
      <c r="I69" s="57">
        <f t="shared" si="14"/>
        <v>0.38999999999999996</v>
      </c>
      <c r="J69" s="61">
        <v>14582.992485018283</v>
      </c>
      <c r="K69" s="62">
        <v>0.56831792843166351</v>
      </c>
      <c r="L69" s="62">
        <v>0.37465195867922763</v>
      </c>
      <c r="M69" s="63">
        <v>1.5637149028077753</v>
      </c>
      <c r="N69" s="63">
        <v>1.9090712742980558</v>
      </c>
    </row>
    <row r="70" spans="1:14" x14ac:dyDescent="0.35">
      <c r="A70" s="64">
        <f t="shared" si="15"/>
        <v>-0.30000000000000004</v>
      </c>
      <c r="B70" s="57">
        <f t="shared" si="13"/>
        <v>10500</v>
      </c>
      <c r="C70" s="61">
        <v>-2375.578989497606</v>
      </c>
      <c r="D70" s="62">
        <v>7.6579431798402542E-2</v>
      </c>
      <c r="E70" s="62">
        <v>9.7763190295126146E-2</v>
      </c>
      <c r="F70" s="63">
        <v>3.599618684461392</v>
      </c>
      <c r="G70" s="63" t="e">
        <v>#REF!</v>
      </c>
      <c r="I70" s="57">
        <f t="shared" si="14"/>
        <v>0.42</v>
      </c>
      <c r="J70" s="61">
        <v>13041.304169153203</v>
      </c>
      <c r="K70" s="62">
        <v>0.525873790925385</v>
      </c>
      <c r="L70" s="62">
        <v>0.35572854340890991</v>
      </c>
      <c r="M70" s="63">
        <v>1.6605504587155964</v>
      </c>
      <c r="N70" s="63">
        <v>2.0446942007797269</v>
      </c>
    </row>
    <row r="71" spans="1:14" x14ac:dyDescent="0.35">
      <c r="A71" s="64">
        <f t="shared" si="15"/>
        <v>-0.25000000000000006</v>
      </c>
      <c r="B71" s="57">
        <f t="shared" si="13"/>
        <v>11250</v>
      </c>
      <c r="C71" s="61">
        <v>-1347.7867789208849</v>
      </c>
      <c r="D71" s="62">
        <v>0.10861235719537943</v>
      </c>
      <c r="E71" s="62">
        <v>0.12126291137463552</v>
      </c>
      <c r="F71" s="63">
        <v>3.4515539305301646</v>
      </c>
      <c r="G71" s="63" t="e">
        <v>#REF!</v>
      </c>
      <c r="I71" s="57">
        <f t="shared" si="14"/>
        <v>0.44999999999999996</v>
      </c>
      <c r="J71" s="61">
        <v>11499.615853288124</v>
      </c>
      <c r="K71" s="62">
        <v>0.48311527689215805</v>
      </c>
      <c r="L71" s="62">
        <v>0.33597779816959039</v>
      </c>
      <c r="M71" s="63">
        <v>1.7701711491442542</v>
      </c>
      <c r="N71" s="63">
        <v>2.2219613980177355</v>
      </c>
    </row>
    <row r="72" spans="1:14" x14ac:dyDescent="0.35">
      <c r="A72" s="64">
        <f t="shared" si="15"/>
        <v>-0.20000000000000007</v>
      </c>
      <c r="B72" s="57">
        <f t="shared" si="13"/>
        <v>11999.999999999998</v>
      </c>
      <c r="C72" s="61">
        <v>-319.99456834416651</v>
      </c>
      <c r="D72" s="62">
        <v>0.14023343228820973</v>
      </c>
      <c r="E72" s="62">
        <v>0.14337159536389699</v>
      </c>
      <c r="F72" s="63">
        <v>3.3151887620719931</v>
      </c>
      <c r="G72" s="63" t="e">
        <v>#REF!</v>
      </c>
      <c r="I72" s="57">
        <f t="shared" si="14"/>
        <v>0.47999999999999993</v>
      </c>
      <c r="J72" s="61">
        <v>9957.9275374230456</v>
      </c>
      <c r="K72" s="62">
        <v>0.44000889419261613</v>
      </c>
      <c r="L72" s="62">
        <v>0.31531006427102093</v>
      </c>
      <c r="M72" s="63">
        <v>1.8952879581151829</v>
      </c>
      <c r="N72" s="63">
        <v>2.4260872615039273</v>
      </c>
    </row>
    <row r="73" spans="1:14" x14ac:dyDescent="0.35">
      <c r="A73" s="64">
        <f t="shared" si="15"/>
        <v>-0.15000000000000008</v>
      </c>
      <c r="B73" s="57">
        <f t="shared" si="13"/>
        <v>12749.999999999998</v>
      </c>
      <c r="C73" s="61">
        <v>707.79764223255734</v>
      </c>
      <c r="D73" s="62">
        <v>0.17147808681448407</v>
      </c>
      <c r="E73" s="62">
        <v>0.16426741537799661</v>
      </c>
      <c r="F73" s="63">
        <v>3.189189189189189</v>
      </c>
      <c r="G73" s="63">
        <v>3.8693050570101346</v>
      </c>
      <c r="I73" s="57">
        <f t="shared" si="14"/>
        <v>0.5099999999999999</v>
      </c>
      <c r="J73" s="61">
        <v>8416.2392215579639</v>
      </c>
      <c r="K73" s="62">
        <v>0.39651648459146438</v>
      </c>
      <c r="L73" s="62">
        <v>0.29361939903931966</v>
      </c>
      <c r="M73" s="63">
        <v>2.0425015179113535</v>
      </c>
      <c r="N73" s="63">
        <v>2.6636763812993309</v>
      </c>
    </row>
    <row r="74" spans="1:14" x14ac:dyDescent="0.35">
      <c r="A74" s="64">
        <f t="shared" si="15"/>
        <v>-0.10000000000000007</v>
      </c>
      <c r="B74" s="57">
        <f t="shared" si="13"/>
        <v>13499.999999999998</v>
      </c>
      <c r="C74" s="61">
        <v>1735.5898528092775</v>
      </c>
      <c r="D74" s="62">
        <v>0.2023778599893824</v>
      </c>
      <c r="E74" s="62">
        <v>0.18409511173554538</v>
      </c>
      <c r="F74" s="63">
        <v>3.0724165988608627</v>
      </c>
      <c r="G74" s="63">
        <v>3.6912573738812036</v>
      </c>
      <c r="I74" s="57">
        <f t="shared" si="14"/>
        <v>0.53999999999999992</v>
      </c>
      <c r="J74" s="61">
        <v>6874.5509056928822</v>
      </c>
      <c r="K74" s="62">
        <v>0.35259438460974324</v>
      </c>
      <c r="L74" s="62">
        <v>0.2707792553881081</v>
      </c>
      <c r="M74" s="63">
        <v>2.2248677248677247</v>
      </c>
      <c r="N74" s="63">
        <v>2.9436921296296283</v>
      </c>
    </row>
    <row r="75" spans="1:14" x14ac:dyDescent="0.35">
      <c r="A75" s="64">
        <f t="shared" si="15"/>
        <v>-5.0000000000000072E-2</v>
      </c>
      <c r="B75" s="57">
        <f t="shared" si="13"/>
        <v>14250</v>
      </c>
      <c r="C75" s="61">
        <v>2763.3820633859973</v>
      </c>
      <c r="D75" s="62">
        <v>0.23296092188887152</v>
      </c>
      <c r="E75" s="62">
        <v>0.20297400356205997</v>
      </c>
      <c r="F75" s="63">
        <v>2.9201388888888888</v>
      </c>
      <c r="G75" s="63">
        <v>3.5257876275510203</v>
      </c>
      <c r="I75" s="57">
        <f t="shared" si="14"/>
        <v>0.56999999999999995</v>
      </c>
      <c r="J75" s="61">
        <v>5332.8625898277996</v>
      </c>
      <c r="K75" s="62">
        <v>0.30819239604459758</v>
      </c>
      <c r="L75" s="62">
        <v>0.24663659793790438</v>
      </c>
      <c r="M75" s="63">
        <v>2.4429920116194626</v>
      </c>
      <c r="N75" s="63">
        <v>3.159104760187522</v>
      </c>
    </row>
    <row r="76" spans="1:14" x14ac:dyDescent="0.35">
      <c r="A76" s="64">
        <f t="shared" si="15"/>
        <v>-6.9388939039072284E-17</v>
      </c>
      <c r="B76" s="57">
        <f t="shared" si="13"/>
        <v>14999.999999999998</v>
      </c>
      <c r="C76" s="61">
        <v>3791.1742739627184</v>
      </c>
      <c r="D76" s="62">
        <v>0.26325251341756095</v>
      </c>
      <c r="E76" s="62">
        <v>0.2210037137994536</v>
      </c>
      <c r="F76" s="63">
        <v>2.7085346215780999</v>
      </c>
      <c r="G76" s="63">
        <v>3.3716084628506442</v>
      </c>
      <c r="I76" s="57">
        <f t="shared" si="14"/>
        <v>0.59999999999999987</v>
      </c>
      <c r="J76" s="61">
        <v>3791.1742739627243</v>
      </c>
      <c r="K76" s="62">
        <v>0.26325251341756095</v>
      </c>
      <c r="L76" s="62">
        <v>0.22100371379945383</v>
      </c>
      <c r="M76" s="63">
        <v>2.708534621578099</v>
      </c>
      <c r="N76" s="63">
        <v>3.3716084628506433</v>
      </c>
    </row>
    <row r="77" spans="1:14" x14ac:dyDescent="0.35">
      <c r="A77" s="64">
        <f t="shared" si="15"/>
        <v>4.9999999999999933E-2</v>
      </c>
      <c r="B77" s="57">
        <f t="shared" si="13"/>
        <v>15749.999999999998</v>
      </c>
      <c r="C77" s="61">
        <v>4818.9664845394391</v>
      </c>
      <c r="D77" s="62">
        <v>0.29327531904792936</v>
      </c>
      <c r="E77" s="62">
        <v>0.238268353101172</v>
      </c>
      <c r="F77" s="63">
        <v>2.5255255255255253</v>
      </c>
      <c r="G77" s="63">
        <v>3.2276024101906153</v>
      </c>
      <c r="I77" s="57">
        <f t="shared" si="14"/>
        <v>0.62999999999999989</v>
      </c>
      <c r="J77" s="61">
        <v>2249.4859580976436</v>
      </c>
      <c r="K77" s="62">
        <v>0.21770733830549172</v>
      </c>
      <c r="L77" s="62">
        <v>0.19364652532907289</v>
      </c>
      <c r="M77" s="63">
        <v>3.0171793847383133</v>
      </c>
      <c r="N77" s="63">
        <v>3.607035057930482</v>
      </c>
    </row>
    <row r="78" spans="1:14" x14ac:dyDescent="0.35">
      <c r="A78" s="64">
        <f t="shared" si="15"/>
        <v>9.9999999999999936E-2</v>
      </c>
      <c r="B78" s="57">
        <f t="shared" si="13"/>
        <v>16499.999999999996</v>
      </c>
      <c r="C78" s="61">
        <v>5846.7586951161538</v>
      </c>
      <c r="D78" s="62">
        <v>0.32304978391392436</v>
      </c>
      <c r="E78" s="62">
        <v>0.25483963801049136</v>
      </c>
      <c r="F78" s="63">
        <v>2.3656821378340371</v>
      </c>
      <c r="G78" s="63">
        <v>3.0927947569198015</v>
      </c>
      <c r="I78" s="57">
        <f t="shared" si="14"/>
        <v>0.65999999999999992</v>
      </c>
      <c r="J78" s="61">
        <v>707.79764223256279</v>
      </c>
      <c r="K78" s="62">
        <v>0.17147808681448429</v>
      </c>
      <c r="L78" s="62">
        <v>0.16426741537799683</v>
      </c>
      <c r="M78" s="63">
        <v>3.1891891891891886</v>
      </c>
      <c r="N78" s="63">
        <v>3.8693050570101333</v>
      </c>
    </row>
    <row r="79" spans="1:14" x14ac:dyDescent="0.35">
      <c r="A79" s="64">
        <f>A78+5%</f>
        <v>0.14999999999999994</v>
      </c>
      <c r="B79" s="57">
        <f t="shared" si="13"/>
        <v>17250</v>
      </c>
      <c r="C79" s="61">
        <v>6874.5509056928813</v>
      </c>
      <c r="D79" s="62">
        <v>0.35259438460974324</v>
      </c>
      <c r="E79" s="62">
        <v>0.2707792553881081</v>
      </c>
      <c r="F79" s="63">
        <v>2.2248677248677247</v>
      </c>
      <c r="G79" s="63">
        <v>2.9436921296296288</v>
      </c>
      <c r="I79" s="57">
        <f t="shared" si="14"/>
        <v>0.69</v>
      </c>
      <c r="J79" s="61">
        <v>-833.89067363252525</v>
      </c>
      <c r="K79" s="62">
        <v>0.12447206374853881</v>
      </c>
      <c r="L79" s="62">
        <v>0.13247909964636762</v>
      </c>
      <c r="M79" s="63">
        <v>3.3819973130317957</v>
      </c>
      <c r="N79" s="63" t="e">
        <v>#REF!</v>
      </c>
    </row>
    <row r="80" spans="1:14" x14ac:dyDescent="0.35">
      <c r="A80" s="64">
        <f t="shared" si="15"/>
        <v>0.19999999999999996</v>
      </c>
      <c r="B80" s="57">
        <f t="shared" si="13"/>
        <v>18000</v>
      </c>
      <c r="C80" s="61">
        <v>7902.3431162696006</v>
      </c>
      <c r="D80" s="62">
        <v>0.38192586137932305</v>
      </c>
      <c r="E80" s="62">
        <v>0.28614068302019713</v>
      </c>
      <c r="F80" s="63">
        <v>2.0998751560549311</v>
      </c>
      <c r="G80" s="63">
        <v>2.7517712234706613</v>
      </c>
      <c r="I80" s="57">
        <f t="shared" si="14"/>
        <v>0.72</v>
      </c>
      <c r="J80" s="61">
        <v>-2375.578989497606</v>
      </c>
      <c r="K80" s="62">
        <v>7.6579431798402542E-2</v>
      </c>
      <c r="L80" s="62">
        <v>9.7763190295126146E-2</v>
      </c>
      <c r="M80" s="63">
        <v>3.599618684461392</v>
      </c>
      <c r="N80" s="63" t="e">
        <v>#REF!</v>
      </c>
    </row>
    <row r="81" spans="1:14" x14ac:dyDescent="0.35">
      <c r="A81" s="64">
        <f t="shared" si="15"/>
        <v>0.24999999999999994</v>
      </c>
      <c r="B81" s="57">
        <f t="shared" si="13"/>
        <v>18750</v>
      </c>
      <c r="C81" s="61">
        <v>8930.1353268463208</v>
      </c>
      <c r="D81" s="62">
        <v>0.41105941795525247</v>
      </c>
      <c r="E81" s="62">
        <v>0.30097061085710131</v>
      </c>
      <c r="F81" s="63">
        <v>1.9890109890109891</v>
      </c>
      <c r="G81" s="63">
        <v>2.5802674349881793</v>
      </c>
      <c r="I81" s="57">
        <f t="shared" si="14"/>
        <v>0.75</v>
      </c>
      <c r="J81" s="61">
        <v>-3948.9996104930988</v>
      </c>
      <c r="K81" s="62">
        <v>2.746636977798822E-2</v>
      </c>
      <c r="L81" s="62">
        <v>5.85665193705589E-2</v>
      </c>
      <c r="M81" s="63">
        <v>3.8481012658227849</v>
      </c>
      <c r="N81" s="63" t="e">
        <v>#REF!</v>
      </c>
    </row>
    <row r="82" spans="1:14" x14ac:dyDescent="0.35">
      <c r="A82" s="64">
        <f t="shared" si="15"/>
        <v>0.29999999999999993</v>
      </c>
      <c r="B82" s="57">
        <f t="shared" si="13"/>
        <v>19499.999999999996</v>
      </c>
      <c r="C82" s="61">
        <v>9957.9275374230347</v>
      </c>
      <c r="D82" s="62">
        <v>0.44000889419261613</v>
      </c>
      <c r="E82" s="62">
        <v>0.31531006427102071</v>
      </c>
      <c r="F82" s="63">
        <v>1.8952879581151838</v>
      </c>
      <c r="G82" s="63">
        <v>2.4260872615039286</v>
      </c>
      <c r="I82" s="57">
        <f t="shared" si="14"/>
        <v>0.77999999999999992</v>
      </c>
      <c r="J82" s="61">
        <v>-6063.7218992213311</v>
      </c>
      <c r="K82" s="62">
        <v>-3.9345968113988938E-2</v>
      </c>
      <c r="L82" s="62">
        <v>-2.1389960318551893E-3</v>
      </c>
      <c r="M82" s="63" t="e">
        <v>#REF!</v>
      </c>
      <c r="N82" s="63" t="e">
        <v>#REF!</v>
      </c>
    </row>
    <row r="83" spans="1:14" x14ac:dyDescent="0.35">
      <c r="A83" s="64">
        <f>A82+5%</f>
        <v>0.34999999999999992</v>
      </c>
      <c r="B83" s="57">
        <f t="shared" si="13"/>
        <v>20249.999999999996</v>
      </c>
      <c r="C83" s="61">
        <v>10985.719747999758</v>
      </c>
      <c r="D83" s="62">
        <v>0.46878691573543985</v>
      </c>
      <c r="E83" s="62">
        <v>0.32919530177735257</v>
      </c>
      <c r="F83" s="63">
        <v>1.8100000000000005</v>
      </c>
      <c r="G83" s="63">
        <v>2.2867321047008549</v>
      </c>
      <c r="I83" s="57">
        <f t="shared" si="14"/>
        <v>0.80999999999999994</v>
      </c>
      <c r="J83" s="61">
        <v>-8633.202425663143</v>
      </c>
      <c r="K83" s="62">
        <v>-0.12493998080037649</v>
      </c>
      <c r="L83" s="62">
        <v>-9.5112403799170298E-2</v>
      </c>
      <c r="M83" s="63" t="e">
        <v>#REF!</v>
      </c>
      <c r="N83" s="63" t="e">
        <v>#REF!</v>
      </c>
    </row>
    <row r="84" spans="1:14" x14ac:dyDescent="0.35">
      <c r="A84" s="64">
        <f t="shared" si="15"/>
        <v>0.39999999999999991</v>
      </c>
      <c r="B84" s="57">
        <f t="shared" si="13"/>
        <v>21000</v>
      </c>
      <c r="C84" s="61">
        <v>12013.511958576484</v>
      </c>
      <c r="D84" s="62">
        <v>0.49740502421941835</v>
      </c>
      <c r="E84" s="62">
        <v>0.34265853982399297</v>
      </c>
      <c r="F84" s="63">
        <v>1.7320574162679425</v>
      </c>
      <c r="G84" s="63">
        <v>2.1601618246687049</v>
      </c>
      <c r="I84" s="57">
        <f t="shared" si="14"/>
        <v>0.84</v>
      </c>
      <c r="J84" s="61">
        <v>-11202.682952104944</v>
      </c>
      <c r="K84" s="62">
        <v>-0.21507357518332748</v>
      </c>
      <c r="L84" s="62">
        <v>-0.20789257794997462</v>
      </c>
      <c r="M84" s="63" t="e">
        <v>#REF!</v>
      </c>
      <c r="N84" s="63" t="e">
        <v>#REF!</v>
      </c>
    </row>
    <row r="85" spans="1:14" x14ac:dyDescent="0.35">
      <c r="A85" s="64">
        <f t="shared" si="15"/>
        <v>0.4499999999999999</v>
      </c>
      <c r="B85" s="57">
        <f t="shared" si="13"/>
        <v>21750</v>
      </c>
      <c r="C85" s="61">
        <v>13041.304169153203</v>
      </c>
      <c r="D85" s="62">
        <v>0.525873790925385</v>
      </c>
      <c r="E85" s="62">
        <v>0.35572854340890991</v>
      </c>
      <c r="F85" s="63">
        <v>1.6605504587155964</v>
      </c>
      <c r="G85" s="63">
        <v>2.0446942007797269</v>
      </c>
      <c r="I85" s="57">
        <f t="shared" si="14"/>
        <v>0.87</v>
      </c>
      <c r="J85" s="61">
        <v>-13772.163478546745</v>
      </c>
      <c r="K85" s="62">
        <v>-0.31116559487574402</v>
      </c>
      <c r="L85" s="62">
        <v>-0.26605396334324061</v>
      </c>
      <c r="M85" s="63" t="e">
        <v>#REF!</v>
      </c>
      <c r="N85" s="63" t="e">
        <v>#REF!</v>
      </c>
    </row>
    <row r="86" spans="1:14" x14ac:dyDescent="0.35">
      <c r="A86" s="64">
        <f t="shared" si="15"/>
        <v>0.49999999999999989</v>
      </c>
      <c r="B86" s="57">
        <f t="shared" si="13"/>
        <v>22500</v>
      </c>
      <c r="C86" s="61">
        <v>14069.096379729925</v>
      </c>
      <c r="D86" s="62">
        <v>0.55420291627416751</v>
      </c>
      <c r="E86" s="62">
        <v>0.3684311114690153</v>
      </c>
      <c r="F86" s="63">
        <v>1.5947136563876652</v>
      </c>
      <c r="G86" s="63">
        <v>1.9498898678414094</v>
      </c>
      <c r="I86" s="57">
        <f t="shared" si="14"/>
        <v>0.89999999999999991</v>
      </c>
      <c r="J86" s="61">
        <v>-16341.64400498854</v>
      </c>
      <c r="K86" s="62">
        <v>-0.41518777812268537</v>
      </c>
      <c r="L86" s="62">
        <v>-0.3233896001150578</v>
      </c>
      <c r="M86" s="63" t="e">
        <v>#REF!</v>
      </c>
      <c r="N86" s="63" t="e">
        <v>#REF!</v>
      </c>
    </row>
    <row r="105" spans="1:11" x14ac:dyDescent="0.35">
      <c r="B105" t="s">
        <v>268</v>
      </c>
    </row>
    <row r="106" spans="1:11" x14ac:dyDescent="0.35">
      <c r="A106" s="57"/>
      <c r="B106" s="61"/>
      <c r="C106" s="61"/>
      <c r="D106" s="61"/>
      <c r="E106" s="61"/>
    </row>
    <row r="107" spans="1:11" ht="15" thickBot="1" x14ac:dyDescent="0.4">
      <c r="B107" s="64" t="s">
        <v>271</v>
      </c>
      <c r="D107" s="201" t="s">
        <v>269</v>
      </c>
      <c r="E107" s="201"/>
      <c r="F107" s="201"/>
      <c r="G107" s="201"/>
      <c r="H107" s="201"/>
      <c r="I107" s="201"/>
      <c r="J107" s="201"/>
      <c r="K107" s="201"/>
    </row>
    <row r="108" spans="1:11" x14ac:dyDescent="0.35">
      <c r="C108" s="170">
        <f>$B$50</f>
        <v>3791.1742739627184</v>
      </c>
      <c r="D108" s="171">
        <v>0.5</v>
      </c>
      <c r="E108" s="171">
        <f>D108+0.5</f>
        <v>1</v>
      </c>
      <c r="F108" s="171">
        <f t="shared" ref="F108:H108" si="16">E108+0.5</f>
        <v>1.5</v>
      </c>
      <c r="G108" s="175">
        <f t="shared" si="16"/>
        <v>2</v>
      </c>
      <c r="H108" s="171">
        <f t="shared" si="16"/>
        <v>2.5</v>
      </c>
      <c r="I108" s="171">
        <f>H108+0.5</f>
        <v>3</v>
      </c>
      <c r="J108" s="171">
        <f t="shared" ref="J108:K108" si="17">I108+0.5</f>
        <v>3.5</v>
      </c>
      <c r="K108" s="171">
        <f t="shared" si="17"/>
        <v>4</v>
      </c>
    </row>
    <row r="109" spans="1:11" x14ac:dyDescent="0.35">
      <c r="B109" s="202" t="s">
        <v>270</v>
      </c>
      <c r="C109" s="172">
        <v>10000</v>
      </c>
      <c r="D109" s="173">
        <f t="dataTable" ref="D109:K119" dt2D="1" dtr="1" r1="D9" r2="D8" ca="1"/>
        <v>-19196.622367701661</v>
      </c>
      <c r="E109" s="173">
        <v>-13486.665642275435</v>
      </c>
      <c r="F109" s="173">
        <v>-7776.7089168492093</v>
      </c>
      <c r="G109" s="176">
        <v>-3068.6639913379358</v>
      </c>
      <c r="H109" s="173">
        <v>365.20023870698242</v>
      </c>
      <c r="I109" s="173">
        <v>3791.1742739627184</v>
      </c>
      <c r="J109" s="173">
        <v>7217.1483092184535</v>
      </c>
      <c r="K109" s="173">
        <v>10643.122344474188</v>
      </c>
    </row>
    <row r="110" spans="1:11" x14ac:dyDescent="0.35">
      <c r="B110" s="202"/>
      <c r="C110" s="172">
        <f>C109+1000</f>
        <v>11000</v>
      </c>
      <c r="D110" s="173">
        <v>-18625.626695159037</v>
      </c>
      <c r="E110" s="173">
        <v>-12344.674297190189</v>
      </c>
      <c r="F110" s="173">
        <v>-6063.7218992213402</v>
      </c>
      <c r="G110" s="176">
        <v>-1690.3841824464571</v>
      </c>
      <c r="H110" s="173">
        <v>2078.1872563348511</v>
      </c>
      <c r="I110" s="173">
        <v>5846.7586951161584</v>
      </c>
      <c r="J110" s="173">
        <v>9615.330133897467</v>
      </c>
      <c r="K110" s="173">
        <v>13383.901572678777</v>
      </c>
    </row>
    <row r="111" spans="1:11" x14ac:dyDescent="0.35">
      <c r="B111" s="202"/>
      <c r="C111" s="172">
        <f t="shared" ref="C111:C119" si="18">C110+1000</f>
        <v>12000</v>
      </c>
      <c r="D111" s="173">
        <v>-18054.631022616417</v>
      </c>
      <c r="E111" s="173">
        <v>-11202.682952104944</v>
      </c>
      <c r="F111" s="173">
        <v>-4495.3141248065849</v>
      </c>
      <c r="G111" s="176">
        <v>-319.99456834416378</v>
      </c>
      <c r="H111" s="173">
        <v>3791.1742739627184</v>
      </c>
      <c r="I111" s="173">
        <v>7902.3431162696006</v>
      </c>
      <c r="J111" s="173">
        <v>12013.511958576484</v>
      </c>
      <c r="K111" s="173">
        <v>16124.680800883365</v>
      </c>
    </row>
    <row r="112" spans="1:11" x14ac:dyDescent="0.35">
      <c r="B112" s="202"/>
      <c r="C112" s="172">
        <f t="shared" si="18"/>
        <v>13000</v>
      </c>
      <c r="D112" s="173">
        <v>-17483.635350073793</v>
      </c>
      <c r="E112" s="173">
        <v>-10060.6916070197</v>
      </c>
      <c r="F112" s="173">
        <v>-3419.1515896526917</v>
      </c>
      <c r="G112" s="176">
        <v>1050.3950457581304</v>
      </c>
      <c r="H112" s="173">
        <v>5504.1612915905862</v>
      </c>
      <c r="I112" s="173">
        <v>9957.9275374230419</v>
      </c>
      <c r="J112" s="173">
        <v>14411.693783255498</v>
      </c>
      <c r="K112" s="173">
        <v>18865.460029087953</v>
      </c>
    </row>
    <row r="113" spans="1:11" ht="15" thickBot="1" x14ac:dyDescent="0.4">
      <c r="B113" s="202"/>
      <c r="C113" s="172">
        <f t="shared" si="18"/>
        <v>14000</v>
      </c>
      <c r="D113" s="173">
        <v>-16912.63967753117</v>
      </c>
      <c r="E113" s="173">
        <v>-8918.7002619344548</v>
      </c>
      <c r="F113" s="173">
        <v>-2375.578989497606</v>
      </c>
      <c r="G113" s="176">
        <v>2420.7846598604247</v>
      </c>
      <c r="H113" s="173">
        <v>7217.1483092184535</v>
      </c>
      <c r="I113" s="173">
        <v>12013.511958576484</v>
      </c>
      <c r="J113" s="173">
        <v>16809.875607934511</v>
      </c>
      <c r="K113" s="173">
        <v>21606.239257292542</v>
      </c>
    </row>
    <row r="114" spans="1:11" ht="15" thickBot="1" x14ac:dyDescent="0.4">
      <c r="B114" s="202"/>
      <c r="C114" s="178">
        <f t="shared" si="18"/>
        <v>15000</v>
      </c>
      <c r="D114" s="179">
        <v>-16341.644004988546</v>
      </c>
      <c r="E114" s="179">
        <v>-7776.7089168492093</v>
      </c>
      <c r="F114" s="179">
        <v>-1347.7867789208849</v>
      </c>
      <c r="G114" s="174">
        <v>3791.1742739627184</v>
      </c>
      <c r="H114" s="179">
        <v>8930.1353268463208</v>
      </c>
      <c r="I114" s="179">
        <v>14069.096379729925</v>
      </c>
      <c r="J114" s="179">
        <v>19208.057432613525</v>
      </c>
      <c r="K114" s="180">
        <v>24347.01848549713</v>
      </c>
    </row>
    <row r="115" spans="1:11" x14ac:dyDescent="0.35">
      <c r="B115" s="202"/>
      <c r="C115" s="172">
        <f t="shared" si="18"/>
        <v>16000</v>
      </c>
      <c r="D115" s="173">
        <v>-15770.648332445924</v>
      </c>
      <c r="E115" s="173">
        <v>-6634.7175717639639</v>
      </c>
      <c r="F115" s="173">
        <v>-319.99456834416378</v>
      </c>
      <c r="G115" s="176">
        <v>5161.5638880650122</v>
      </c>
      <c r="H115" s="173">
        <v>10643.122344474188</v>
      </c>
      <c r="I115" s="173">
        <v>16124.680800883365</v>
      </c>
      <c r="J115" s="173">
        <v>21606.239257292542</v>
      </c>
      <c r="K115" s="173">
        <v>27087.797713701722</v>
      </c>
    </row>
    <row r="116" spans="1:11" x14ac:dyDescent="0.35">
      <c r="B116" s="202"/>
      <c r="C116" s="172">
        <f t="shared" si="18"/>
        <v>17000</v>
      </c>
      <c r="D116" s="173">
        <v>-15199.652659903304</v>
      </c>
      <c r="E116" s="173">
        <v>-5492.7262266787193</v>
      </c>
      <c r="F116" s="173">
        <v>707.79764223255734</v>
      </c>
      <c r="G116" s="176">
        <v>6531.9535021673064</v>
      </c>
      <c r="H116" s="173">
        <v>12356.109362102055</v>
      </c>
      <c r="I116" s="173">
        <v>18180.265222036807</v>
      </c>
      <c r="J116" s="173">
        <v>24004.421081971559</v>
      </c>
      <c r="K116" s="173">
        <v>29828.576941906304</v>
      </c>
    </row>
    <row r="117" spans="1:11" x14ac:dyDescent="0.35">
      <c r="B117" s="202"/>
      <c r="C117" s="172">
        <f t="shared" si="18"/>
        <v>18000</v>
      </c>
      <c r="D117" s="173">
        <v>-14628.656987360679</v>
      </c>
      <c r="E117" s="173">
        <v>-4495.3141248065849</v>
      </c>
      <c r="F117" s="173">
        <v>1735.5898528092775</v>
      </c>
      <c r="G117" s="176">
        <v>7902.3431162696006</v>
      </c>
      <c r="H117" s="173">
        <v>14069.096379729925</v>
      </c>
      <c r="I117" s="173">
        <v>20235.849643190246</v>
      </c>
      <c r="J117" s="173">
        <v>26402.602906650573</v>
      </c>
      <c r="K117" s="173">
        <v>32569.356170110896</v>
      </c>
    </row>
    <row r="118" spans="1:11" x14ac:dyDescent="0.35">
      <c r="B118" s="202"/>
      <c r="C118" s="172">
        <f t="shared" si="18"/>
        <v>19000</v>
      </c>
      <c r="D118" s="173">
        <v>-14057.661314818057</v>
      </c>
      <c r="E118" s="173">
        <v>-3769.6391879674502</v>
      </c>
      <c r="F118" s="173">
        <v>2763.3820633859973</v>
      </c>
      <c r="G118" s="176">
        <v>9272.7327303718957</v>
      </c>
      <c r="H118" s="173">
        <v>15782.08339735779</v>
      </c>
      <c r="I118" s="173">
        <v>22291.434064343688</v>
      </c>
      <c r="J118" s="173">
        <v>28800.784731329586</v>
      </c>
      <c r="K118" s="173">
        <v>35310.135398315477</v>
      </c>
    </row>
    <row r="119" spans="1:11" ht="15" thickBot="1" x14ac:dyDescent="0.4">
      <c r="B119" s="202"/>
      <c r="C119" s="172">
        <f t="shared" si="18"/>
        <v>20000</v>
      </c>
      <c r="D119" s="173">
        <v>-13486.665642275435</v>
      </c>
      <c r="E119" s="173">
        <v>-3068.6639913379358</v>
      </c>
      <c r="F119" s="173">
        <v>3791.1742739627184</v>
      </c>
      <c r="G119" s="177">
        <v>10643.122344474188</v>
      </c>
      <c r="H119" s="173">
        <v>17495.070414985661</v>
      </c>
      <c r="I119" s="173">
        <v>24347.01848549713</v>
      </c>
      <c r="J119" s="173">
        <v>31198.9665560086</v>
      </c>
      <c r="K119" s="173">
        <v>38050.914626520069</v>
      </c>
    </row>
    <row r="120" spans="1:11" x14ac:dyDescent="0.35">
      <c r="A120" s="64"/>
    </row>
    <row r="121" spans="1:11" x14ac:dyDescent="0.35">
      <c r="A121" s="64"/>
    </row>
    <row r="122" spans="1:11" ht="15" thickBot="1" x14ac:dyDescent="0.4">
      <c r="A122" s="64"/>
      <c r="B122" s="64" t="s">
        <v>271</v>
      </c>
      <c r="D122" s="201" t="s">
        <v>273</v>
      </c>
      <c r="E122" s="201"/>
      <c r="F122" s="201"/>
      <c r="G122" s="201"/>
      <c r="H122" s="201"/>
      <c r="I122" s="201"/>
      <c r="J122" s="201"/>
      <c r="K122" s="201"/>
    </row>
    <row r="123" spans="1:11" x14ac:dyDescent="0.35">
      <c r="A123" s="64"/>
      <c r="C123" s="170">
        <f>$B$50</f>
        <v>3791.1742739627184</v>
      </c>
      <c r="D123" s="171">
        <v>3000</v>
      </c>
      <c r="E123" s="171">
        <f>D123+500</f>
        <v>3500</v>
      </c>
      <c r="F123" s="171">
        <f t="shared" ref="F123:K123" si="19">E123+500</f>
        <v>4000</v>
      </c>
      <c r="G123" s="175">
        <f t="shared" si="19"/>
        <v>4500</v>
      </c>
      <c r="H123" s="171">
        <f t="shared" si="19"/>
        <v>5000</v>
      </c>
      <c r="I123" s="171">
        <f t="shared" si="19"/>
        <v>5500</v>
      </c>
      <c r="J123" s="171">
        <f t="shared" si="19"/>
        <v>6000</v>
      </c>
      <c r="K123" s="171">
        <f t="shared" si="19"/>
        <v>6500</v>
      </c>
    </row>
    <row r="124" spans="1:11" x14ac:dyDescent="0.35">
      <c r="A124" s="64"/>
      <c r="B124" s="202" t="s">
        <v>121</v>
      </c>
      <c r="C124" s="172">
        <v>0.3</v>
      </c>
      <c r="D124" s="173">
        <f t="dataTable" ref="D124:K134" dt2D="1" dtr="1" r1="D11" r2="D10" ca="1"/>
        <v>22634.031467869263</v>
      </c>
      <c r="E124" s="173">
        <v>21777.537959055328</v>
      </c>
      <c r="F124" s="173">
        <v>20921.044450241396</v>
      </c>
      <c r="G124" s="176">
        <v>20064.550941427464</v>
      </c>
      <c r="H124" s="173">
        <v>19208.057432613525</v>
      </c>
      <c r="I124" s="173">
        <v>18351.563923799593</v>
      </c>
      <c r="J124" s="173">
        <v>17495.070414985661</v>
      </c>
      <c r="K124" s="173">
        <v>16638.576906171726</v>
      </c>
    </row>
    <row r="125" spans="1:11" x14ac:dyDescent="0.35">
      <c r="A125" s="64"/>
      <c r="B125" s="202"/>
      <c r="C125" s="172">
        <f>C124+0.05</f>
        <v>0.35</v>
      </c>
      <c r="D125" s="173">
        <v>20064.550941427464</v>
      </c>
      <c r="E125" s="173">
        <v>19208.057432613525</v>
      </c>
      <c r="F125" s="173">
        <v>18351.563923799593</v>
      </c>
      <c r="G125" s="176">
        <v>17495.070414985661</v>
      </c>
      <c r="H125" s="173">
        <v>16638.576906171726</v>
      </c>
      <c r="I125" s="173">
        <v>15782.08339735779</v>
      </c>
      <c r="J125" s="173">
        <v>14925.589888543858</v>
      </c>
      <c r="K125" s="173">
        <v>14069.096379729925</v>
      </c>
    </row>
    <row r="126" spans="1:11" x14ac:dyDescent="0.35">
      <c r="A126" s="64"/>
      <c r="B126" s="202"/>
      <c r="C126" s="172">
        <f t="shared" ref="C126:C134" si="20">C125+0.05</f>
        <v>0.39999999999999997</v>
      </c>
      <c r="D126" s="173">
        <v>17495.070414985661</v>
      </c>
      <c r="E126" s="173">
        <v>16638.576906171726</v>
      </c>
      <c r="F126" s="173">
        <v>15782.08339735779</v>
      </c>
      <c r="G126" s="176">
        <v>14925.589888543858</v>
      </c>
      <c r="H126" s="173">
        <v>14069.096379729925</v>
      </c>
      <c r="I126" s="173">
        <v>13212.602870915991</v>
      </c>
      <c r="J126" s="173">
        <v>12356.109362102055</v>
      </c>
      <c r="K126" s="173">
        <v>11499.615853288124</v>
      </c>
    </row>
    <row r="127" spans="1:11" ht="15" thickBot="1" x14ac:dyDescent="0.4">
      <c r="A127" s="64"/>
      <c r="B127" s="202"/>
      <c r="C127" s="172">
        <f t="shared" si="20"/>
        <v>0.44999999999999996</v>
      </c>
      <c r="D127" s="173">
        <v>14925.589888543858</v>
      </c>
      <c r="E127" s="173">
        <v>14069.096379729925</v>
      </c>
      <c r="F127" s="173">
        <v>13212.602870915991</v>
      </c>
      <c r="G127" s="176">
        <v>12356.109362102055</v>
      </c>
      <c r="H127" s="173">
        <v>11499.615853288124</v>
      </c>
      <c r="I127" s="173">
        <v>10643.122344474188</v>
      </c>
      <c r="J127" s="173">
        <v>9786.6288356602563</v>
      </c>
      <c r="K127" s="173">
        <v>8930.1353268463208</v>
      </c>
    </row>
    <row r="128" spans="1:11" ht="15" thickBot="1" x14ac:dyDescent="0.4">
      <c r="B128" s="202"/>
      <c r="C128" s="178">
        <f t="shared" si="20"/>
        <v>0.49999999999999994</v>
      </c>
      <c r="D128" s="179">
        <v>12356.109362102057</v>
      </c>
      <c r="E128" s="179">
        <v>11499.615853288124</v>
      </c>
      <c r="F128" s="179">
        <v>10643.122344474192</v>
      </c>
      <c r="G128" s="174">
        <v>9786.6288356602563</v>
      </c>
      <c r="H128" s="179">
        <v>8930.1353268463245</v>
      </c>
      <c r="I128" s="179">
        <v>8073.6418180323899</v>
      </c>
      <c r="J128" s="179">
        <v>7217.1483092184553</v>
      </c>
      <c r="K128" s="180">
        <v>6360.6548004045217</v>
      </c>
    </row>
    <row r="129" spans="2:11" x14ac:dyDescent="0.35">
      <c r="B129" s="202"/>
      <c r="C129" s="172">
        <f t="shared" si="20"/>
        <v>0.54999999999999993</v>
      </c>
      <c r="D129" s="173">
        <v>9786.6288356602599</v>
      </c>
      <c r="E129" s="173">
        <v>8930.1353268463281</v>
      </c>
      <c r="F129" s="173">
        <v>8073.6418180323926</v>
      </c>
      <c r="G129" s="176">
        <v>7217.1483092184571</v>
      </c>
      <c r="H129" s="173">
        <v>6360.6548004045244</v>
      </c>
      <c r="I129" s="173">
        <v>5504.1612915905916</v>
      </c>
      <c r="J129" s="173">
        <v>4647.667782776658</v>
      </c>
      <c r="K129" s="173">
        <v>3791.1742739627243</v>
      </c>
    </row>
    <row r="130" spans="2:11" x14ac:dyDescent="0.35">
      <c r="B130" s="202"/>
      <c r="C130" s="172">
        <f t="shared" si="20"/>
        <v>0.6</v>
      </c>
      <c r="D130" s="173">
        <v>7217.1483092184535</v>
      </c>
      <c r="E130" s="173">
        <v>6360.6548004045198</v>
      </c>
      <c r="F130" s="173">
        <v>5504.1612915905862</v>
      </c>
      <c r="G130" s="176">
        <v>4647.6677827766516</v>
      </c>
      <c r="H130" s="173">
        <v>3791.1742739627184</v>
      </c>
      <c r="I130" s="173">
        <v>2934.6807651487852</v>
      </c>
      <c r="J130" s="173">
        <v>2078.1872563348511</v>
      </c>
      <c r="K130" s="173">
        <v>1221.693747520917</v>
      </c>
    </row>
    <row r="131" spans="2:11" x14ac:dyDescent="0.35">
      <c r="B131" s="202"/>
      <c r="C131" s="172">
        <f t="shared" si="20"/>
        <v>0.65</v>
      </c>
      <c r="D131" s="173">
        <v>4647.6677827766516</v>
      </c>
      <c r="E131" s="173">
        <v>3791.1742739627184</v>
      </c>
      <c r="F131" s="173">
        <v>2934.6807651487852</v>
      </c>
      <c r="G131" s="176">
        <v>2078.1872563348511</v>
      </c>
      <c r="H131" s="173">
        <v>1221.693747520917</v>
      </c>
      <c r="I131" s="173">
        <v>365.20023870698242</v>
      </c>
      <c r="J131" s="173">
        <v>-491.29327010694942</v>
      </c>
      <c r="K131" s="173">
        <v>-1347.7867789208849</v>
      </c>
    </row>
    <row r="132" spans="2:11" x14ac:dyDescent="0.35">
      <c r="B132" s="202"/>
      <c r="C132" s="172">
        <f t="shared" si="20"/>
        <v>0.70000000000000007</v>
      </c>
      <c r="D132" s="173">
        <v>2078.1872563348452</v>
      </c>
      <c r="E132" s="173">
        <v>1221.6937475209106</v>
      </c>
      <c r="F132" s="173">
        <v>365.20023870697605</v>
      </c>
      <c r="G132" s="176">
        <v>-491.29327010695761</v>
      </c>
      <c r="H132" s="173">
        <v>-1347.7867789208922</v>
      </c>
      <c r="I132" s="173">
        <v>-2204.280287734824</v>
      </c>
      <c r="J132" s="173">
        <v>-3068.6639913379422</v>
      </c>
      <c r="K132" s="173">
        <v>-3948.9996104931079</v>
      </c>
    </row>
    <row r="133" spans="2:11" x14ac:dyDescent="0.35">
      <c r="B133" s="202"/>
      <c r="C133" s="172">
        <f t="shared" si="20"/>
        <v>0.75000000000000011</v>
      </c>
      <c r="D133" s="173">
        <v>-491.29327010695761</v>
      </c>
      <c r="E133" s="173">
        <v>-1347.7867789208922</v>
      </c>
      <c r="F133" s="173">
        <v>-2204.280287734824</v>
      </c>
      <c r="G133" s="176">
        <v>-3068.6639913379422</v>
      </c>
      <c r="H133" s="173">
        <v>-3948.9996104931079</v>
      </c>
      <c r="I133" s="173">
        <v>-4921.7305541361075</v>
      </c>
      <c r="J133" s="173">
        <v>-6349.2197354926639</v>
      </c>
      <c r="K133" s="173">
        <v>-7776.7089168492212</v>
      </c>
    </row>
    <row r="134" spans="2:11" ht="15" thickBot="1" x14ac:dyDescent="0.4">
      <c r="B134" s="202"/>
      <c r="C134" s="172">
        <f t="shared" si="20"/>
        <v>0.80000000000000016</v>
      </c>
      <c r="D134" s="173">
        <v>-3068.6639913379422</v>
      </c>
      <c r="E134" s="173">
        <v>-3948.9996104931079</v>
      </c>
      <c r="F134" s="173">
        <v>-4921.7305541361075</v>
      </c>
      <c r="G134" s="177">
        <v>-6349.2197354926639</v>
      </c>
      <c r="H134" s="173">
        <v>-7776.7089168492212</v>
      </c>
      <c r="I134" s="173">
        <v>-9204.1980982057776</v>
      </c>
      <c r="J134" s="173">
        <v>-10631.687279562322</v>
      </c>
      <c r="K134" s="173">
        <v>-12059.176460918889</v>
      </c>
    </row>
    <row r="137" spans="2:11" ht="15" thickBot="1" x14ac:dyDescent="0.4">
      <c r="B137" s="64" t="s">
        <v>271</v>
      </c>
      <c r="D137" s="201" t="s">
        <v>269</v>
      </c>
      <c r="E137" s="201"/>
      <c r="F137" s="201"/>
      <c r="G137" s="201"/>
      <c r="H137" s="201"/>
      <c r="I137" s="201"/>
      <c r="J137" s="201"/>
      <c r="K137" s="201"/>
    </row>
    <row r="138" spans="2:11" x14ac:dyDescent="0.35">
      <c r="C138" s="170">
        <f>$B$50</f>
        <v>3791.1742739627184</v>
      </c>
      <c r="D138" s="171">
        <v>0.5</v>
      </c>
      <c r="E138" s="171">
        <f>D138+0.5</f>
        <v>1</v>
      </c>
      <c r="F138" s="171">
        <f t="shared" ref="F138" si="21">E138+0.5</f>
        <v>1.5</v>
      </c>
      <c r="G138" s="175">
        <f t="shared" ref="G138" si="22">F138+0.5</f>
        <v>2</v>
      </c>
      <c r="H138" s="171">
        <f t="shared" ref="H138" si="23">G138+0.5</f>
        <v>2.5</v>
      </c>
      <c r="I138" s="171">
        <f>H138+0.5</f>
        <v>3</v>
      </c>
      <c r="J138" s="171">
        <f t="shared" ref="J138" si="24">I138+0.5</f>
        <v>3.5</v>
      </c>
      <c r="K138" s="171">
        <f t="shared" ref="K138" si="25">J138+0.5</f>
        <v>4</v>
      </c>
    </row>
    <row r="139" spans="2:11" ht="14.4" customHeight="1" x14ac:dyDescent="0.35">
      <c r="B139" s="202" t="s">
        <v>121</v>
      </c>
      <c r="C139" s="172">
        <v>0.3</v>
      </c>
      <c r="D139" s="173">
        <f t="dataTable" ref="D139:K149" dt2D="1" dtr="1" r1="D9" r2="D10"/>
        <v>-9917.9426888840444</v>
      </c>
      <c r="E139" s="173">
        <v>1221.693747520917</v>
      </c>
      <c r="F139" s="173">
        <v>10214.875590067222</v>
      </c>
      <c r="G139" s="176">
        <v>19208.057432613525</v>
      </c>
      <c r="H139" s="173">
        <v>28201.239275159831</v>
      </c>
      <c r="I139" s="173">
        <v>37194.421117706137</v>
      </c>
      <c r="J139" s="173">
        <v>46187.602960252443</v>
      </c>
      <c r="K139" s="173">
        <v>55180.784802798749</v>
      </c>
    </row>
    <row r="140" spans="2:11" x14ac:dyDescent="0.35">
      <c r="B140" s="202"/>
      <c r="C140" s="172">
        <f>C139+0.05</f>
        <v>0.35</v>
      </c>
      <c r="D140" s="173">
        <v>-10988.559574901461</v>
      </c>
      <c r="E140" s="173">
        <v>-63.046515699984411</v>
      </c>
      <c r="F140" s="173">
        <v>8287.7651952358719</v>
      </c>
      <c r="G140" s="176">
        <v>16638.576906171726</v>
      </c>
      <c r="H140" s="173">
        <v>24989.388617107579</v>
      </c>
      <c r="I140" s="173">
        <v>33340.200328043429</v>
      </c>
      <c r="J140" s="173">
        <v>41691.012038979294</v>
      </c>
      <c r="K140" s="173">
        <v>50041.823749915144</v>
      </c>
    </row>
    <row r="141" spans="2:11" x14ac:dyDescent="0.35">
      <c r="B141" s="202"/>
      <c r="C141" s="172">
        <f t="shared" ref="C141:C149" si="26">C140+0.05</f>
        <v>0.39999999999999997</v>
      </c>
      <c r="D141" s="173">
        <v>-12059.176460918879</v>
      </c>
      <c r="E141" s="173">
        <v>-1347.7867789208849</v>
      </c>
      <c r="F141" s="173">
        <v>6360.6548004045198</v>
      </c>
      <c r="G141" s="176">
        <v>14069.096379729925</v>
      </c>
      <c r="H141" s="173">
        <v>21777.537959055328</v>
      </c>
      <c r="I141" s="173">
        <v>29485.979538380732</v>
      </c>
      <c r="J141" s="173">
        <v>37194.421117706137</v>
      </c>
      <c r="K141" s="173">
        <v>44902.862697031538</v>
      </c>
    </row>
    <row r="142" spans="2:11" x14ac:dyDescent="0.35">
      <c r="B142" s="202"/>
      <c r="C142" s="172">
        <f t="shared" si="26"/>
        <v>0.44999999999999996</v>
      </c>
      <c r="D142" s="173">
        <v>-13129.793346936298</v>
      </c>
      <c r="E142" s="173">
        <v>-2632.5270421417854</v>
      </c>
      <c r="F142" s="173">
        <v>4433.5444055731696</v>
      </c>
      <c r="G142" s="176">
        <v>11499.615853288124</v>
      </c>
      <c r="H142" s="173">
        <v>18565.687301003076</v>
      </c>
      <c r="I142" s="173">
        <v>25631.758748718035</v>
      </c>
      <c r="J142" s="173">
        <v>32697.830196432988</v>
      </c>
      <c r="K142" s="173">
        <v>39763.90164414794</v>
      </c>
    </row>
    <row r="143" spans="2:11" x14ac:dyDescent="0.35">
      <c r="B143" s="202"/>
      <c r="C143" s="172">
        <f t="shared" si="26"/>
        <v>0.49999999999999994</v>
      </c>
      <c r="D143" s="173">
        <v>-14200.410232953709</v>
      </c>
      <c r="E143" s="173">
        <v>-3948.9996104930988</v>
      </c>
      <c r="F143" s="173">
        <v>2506.4340107418193</v>
      </c>
      <c r="G143" s="176">
        <v>8930.1353268463245</v>
      </c>
      <c r="H143" s="173">
        <v>15353.836642950831</v>
      </c>
      <c r="I143" s="173">
        <v>21777.537959055335</v>
      </c>
      <c r="J143" s="173">
        <v>28201.239275159838</v>
      </c>
      <c r="K143" s="173">
        <v>34624.940591264341</v>
      </c>
    </row>
    <row r="144" spans="2:11" ht="15" thickBot="1" x14ac:dyDescent="0.4">
      <c r="B144" s="202"/>
      <c r="C144" s="172">
        <f t="shared" si="26"/>
        <v>0.54999999999999993</v>
      </c>
      <c r="D144" s="173">
        <v>-15271.027118971126</v>
      </c>
      <c r="E144" s="173">
        <v>-5635.4751448143707</v>
      </c>
      <c r="F144" s="173">
        <v>579.32361591046902</v>
      </c>
      <c r="G144" s="176">
        <v>6360.6548004045244</v>
      </c>
      <c r="H144" s="173">
        <v>12141.985984898578</v>
      </c>
      <c r="I144" s="173">
        <v>17923.317169392631</v>
      </c>
      <c r="J144" s="173">
        <v>23704.648353886685</v>
      </c>
      <c r="K144" s="173">
        <v>29485.979538380743</v>
      </c>
    </row>
    <row r="145" spans="2:11" ht="15" thickBot="1" x14ac:dyDescent="0.4">
      <c r="B145" s="202"/>
      <c r="C145" s="178">
        <f t="shared" si="26"/>
        <v>0.6</v>
      </c>
      <c r="D145" s="179">
        <v>-16341.644004988546</v>
      </c>
      <c r="E145" s="179">
        <v>-7776.7089168492093</v>
      </c>
      <c r="F145" s="179">
        <v>-1347.7867789208849</v>
      </c>
      <c r="G145" s="174">
        <v>3791.1742739627184</v>
      </c>
      <c r="H145" s="179">
        <v>8930.1353268463208</v>
      </c>
      <c r="I145" s="179">
        <v>14069.096379729925</v>
      </c>
      <c r="J145" s="179">
        <v>19208.057432613525</v>
      </c>
      <c r="K145" s="180">
        <v>24347.01848549713</v>
      </c>
    </row>
    <row r="146" spans="2:11" x14ac:dyDescent="0.35">
      <c r="B146" s="202"/>
      <c r="C146" s="172">
        <f t="shared" si="26"/>
        <v>0.65</v>
      </c>
      <c r="D146" s="173">
        <v>-17412.260891005964</v>
      </c>
      <c r="E146" s="173">
        <v>-9917.9426888840444</v>
      </c>
      <c r="F146" s="173">
        <v>-3287.7187402846575</v>
      </c>
      <c r="G146" s="176">
        <v>1221.693747520917</v>
      </c>
      <c r="H146" s="173">
        <v>5718.2846687940691</v>
      </c>
      <c r="I146" s="173">
        <v>10214.875590067222</v>
      </c>
      <c r="J146" s="173">
        <v>14711.466511340375</v>
      </c>
      <c r="K146" s="173">
        <v>19208.057432613525</v>
      </c>
    </row>
    <row r="147" spans="2:11" x14ac:dyDescent="0.35">
      <c r="B147" s="202"/>
      <c r="C147" s="172">
        <f t="shared" si="26"/>
        <v>0.70000000000000007</v>
      </c>
      <c r="D147" s="173">
        <v>-18482.877777023383</v>
      </c>
      <c r="E147" s="173">
        <v>-12059.176460918883</v>
      </c>
      <c r="F147" s="173">
        <v>-5635.4751448143797</v>
      </c>
      <c r="G147" s="176">
        <v>-1347.7867789208922</v>
      </c>
      <c r="H147" s="173">
        <v>2506.434010741812</v>
      </c>
      <c r="I147" s="173">
        <v>6360.6548004045126</v>
      </c>
      <c r="J147" s="173">
        <v>10214.875590067222</v>
      </c>
      <c r="K147" s="173">
        <v>14069.096379729915</v>
      </c>
    </row>
    <row r="148" spans="2:11" x14ac:dyDescent="0.35">
      <c r="B148" s="202"/>
      <c r="C148" s="172">
        <f t="shared" si="26"/>
        <v>0.75000000000000011</v>
      </c>
      <c r="D148" s="173">
        <v>-19553.494663040801</v>
      </c>
      <c r="E148" s="173">
        <v>-14200.410232953718</v>
      </c>
      <c r="F148" s="173">
        <v>-8847.3258028666351</v>
      </c>
      <c r="G148" s="176">
        <v>-3948.9996104931079</v>
      </c>
      <c r="H148" s="173">
        <v>-705.41664731043966</v>
      </c>
      <c r="I148" s="173">
        <v>2506.4340107418066</v>
      </c>
      <c r="J148" s="173">
        <v>5718.2846687940564</v>
      </c>
      <c r="K148" s="173">
        <v>8930.1353268463099</v>
      </c>
    </row>
    <row r="149" spans="2:11" ht="15" thickBot="1" x14ac:dyDescent="0.4">
      <c r="B149" s="202"/>
      <c r="C149" s="172">
        <f t="shared" si="26"/>
        <v>0.80000000000000016</v>
      </c>
      <c r="D149" s="173">
        <v>-20624.111549058223</v>
      </c>
      <c r="E149" s="173">
        <v>-16341.644004988551</v>
      </c>
      <c r="F149" s="173">
        <v>-12059.176460918889</v>
      </c>
      <c r="G149" s="177">
        <v>-7776.7089168492212</v>
      </c>
      <c r="H149" s="173">
        <v>-3948.9996104931124</v>
      </c>
      <c r="I149" s="173">
        <v>-1347.7867789208976</v>
      </c>
      <c r="J149" s="173">
        <v>1221.6937475209052</v>
      </c>
      <c r="K149" s="173">
        <v>3791.1742739627061</v>
      </c>
    </row>
  </sheetData>
  <scenarios current="6" show="6" sqref="B50:B54">
    <scenario name="units -10%" locked="1" count="1" user="Author" comment="Created by Author on 18/02/2018_x000a_Modified by Author on 18/02/2018">
      <inputCells r="E8" val="-0.1" numFmtId="9"/>
    </scenario>
    <scenario name="units -5" locked="1" count="1" user="Author" comment="Created by Author on 18/02/2018">
      <inputCells r="E8" val="-0.05" numFmtId="9"/>
    </scenario>
    <scenario name="units 0" locked="1" count="1" user="Author" comment="Created by Author on 18/02/2018">
      <inputCells r="E8" val="0" numFmtId="9"/>
    </scenario>
    <scenario name="units 5%" locked="1" count="1" user="Author" comment="Created by Author on 18/02/2018">
      <inputCells r="E8" val="0.05" numFmtId="9"/>
    </scenario>
    <scenario name="units 10%" locked="1" count="1" user="Author" comment="Created by Author on 18/02/2018">
      <inputCells r="E8" val="0.1" numFmtId="9"/>
    </scenario>
    <scenario name="price -10" locked="1" count="1" user="Author" comment="Created by Author on 19/02/2018">
      <inputCells r="E9" val="-0.1" numFmtId="9"/>
    </scenario>
    <scenario name="price -5" locked="1" count="1" user="Author" comment="Created by Author on 19/02/2018">
      <inputCells r="E9" val="-0.05" numFmtId="9"/>
    </scenario>
    <scenario name="price 0" locked="1" count="1" user="Author" comment="Created by Author on 19/02/2018">
      <inputCells r="E9" val="0" numFmtId="9"/>
    </scenario>
    <scenario name="price 5" locked="1" count="1" user="Author" comment="Created by Author on 19/02/2018">
      <inputCells r="E9" val="0.05" numFmtId="9"/>
    </scenario>
    <scenario name="price 10%" locked="1" count="1" user="Author" comment="Created by Author on 19/02/2018">
      <inputCells r="E9" val="0.1" numFmtId="9"/>
    </scenario>
  </scenarios>
  <mergeCells count="10">
    <mergeCell ref="J2:N2"/>
    <mergeCell ref="J10:N10"/>
    <mergeCell ref="B63:G63"/>
    <mergeCell ref="I63:N63"/>
    <mergeCell ref="D107:K107"/>
    <mergeCell ref="D122:K122"/>
    <mergeCell ref="B124:B134"/>
    <mergeCell ref="D137:K137"/>
    <mergeCell ref="B139:B149"/>
    <mergeCell ref="B109:B119"/>
  </mergeCells>
  <conditionalFormatting sqref="E3:E13">
    <cfRule type="cellIs" dxfId="14" priority="6" operator="notEqual">
      <formula>0</formula>
    </cfRule>
  </conditionalFormatting>
  <conditionalFormatting sqref="D109:K119">
    <cfRule type="cellIs" dxfId="13" priority="5" operator="greaterThan">
      <formula>0</formula>
    </cfRule>
  </conditionalFormatting>
  <conditionalFormatting sqref="D124:K134">
    <cfRule type="cellIs" dxfId="12" priority="4" operator="greaterThan">
      <formula>0</formula>
    </cfRule>
  </conditionalFormatting>
  <conditionalFormatting sqref="D139:K142 D145:K149 D143:F144 H143:K144">
    <cfRule type="cellIs" dxfId="11" priority="3" operator="greaterThan">
      <formula>0</formula>
    </cfRule>
  </conditionalFormatting>
  <conditionalFormatting sqref="G144">
    <cfRule type="cellIs" dxfId="10" priority="2" operator="greaterThan">
      <formula>0</formula>
    </cfRule>
  </conditionalFormatting>
  <conditionalFormatting sqref="G143">
    <cfRule type="cellIs" dxfId="9" priority="1" operator="greaterThan">
      <formula>0</formula>
    </cfRule>
  </conditionalFormatting>
  <pageMargins left="0.7" right="0.7" top="0.75" bottom="0.75" header="0.3" footer="0.3"/>
  <pageSetup paperSize="9" orientation="portrait"/>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49"/>
  <sheetViews>
    <sheetView topLeftCell="A28" zoomScaleNormal="100" workbookViewId="0">
      <selection activeCell="C12" sqref="B12:C12"/>
    </sheetView>
  </sheetViews>
  <sheetFormatPr defaultRowHeight="14.5" outlineLevelRow="1" x14ac:dyDescent="0.35"/>
  <cols>
    <col min="1" max="1" width="25.90625" customWidth="1"/>
    <col min="2" max="2" width="11.453125" customWidth="1"/>
    <col min="3" max="3" width="13.36328125" customWidth="1"/>
    <col min="4" max="4" width="12.08984375" customWidth="1"/>
    <col min="5" max="5" width="12.54296875" customWidth="1"/>
    <col min="6" max="6" width="11.6328125" bestFit="1" customWidth="1"/>
    <col min="7" max="7" width="21" customWidth="1"/>
    <col min="8" max="8" width="15.36328125" customWidth="1"/>
    <col min="9" max="9" width="13" customWidth="1"/>
    <col min="10" max="12" width="11.54296875" customWidth="1"/>
    <col min="13" max="13" width="16.453125" customWidth="1"/>
    <col min="14" max="14" width="14.90625" customWidth="1"/>
  </cols>
  <sheetData>
    <row r="1" spans="1:14" x14ac:dyDescent="0.35">
      <c r="A1" s="6"/>
      <c r="B1" s="6"/>
      <c r="C1" s="6"/>
      <c r="D1" s="6"/>
      <c r="E1" s="6"/>
      <c r="F1" s="6"/>
      <c r="G1" s="6"/>
      <c r="H1" s="6"/>
    </row>
    <row r="2" spans="1:14" x14ac:dyDescent="0.35">
      <c r="A2" s="17" t="s">
        <v>41</v>
      </c>
      <c r="B2" s="17"/>
      <c r="C2" s="17"/>
      <c r="D2" s="55" t="s">
        <v>116</v>
      </c>
      <c r="E2" s="55" t="s">
        <v>117</v>
      </c>
      <c r="F2" s="6"/>
      <c r="G2" s="6"/>
      <c r="H2" s="6"/>
      <c r="I2" s="58"/>
      <c r="J2" s="203" t="s">
        <v>118</v>
      </c>
      <c r="K2" s="203"/>
      <c r="L2" s="203"/>
      <c r="M2" s="203"/>
      <c r="N2" s="203"/>
    </row>
    <row r="3" spans="1:14" x14ac:dyDescent="0.35">
      <c r="A3" s="17" t="s">
        <v>32</v>
      </c>
      <c r="B3" s="17">
        <f>D3*(100%+E3)</f>
        <v>9500</v>
      </c>
      <c r="C3" s="17"/>
      <c r="D3" s="2">
        <v>9500</v>
      </c>
      <c r="E3" s="49">
        <v>0</v>
      </c>
      <c r="F3" s="6"/>
      <c r="G3" s="6"/>
      <c r="H3" s="6"/>
      <c r="I3" s="58"/>
      <c r="J3" s="59">
        <v>-10</v>
      </c>
      <c r="K3" s="59">
        <v>-5</v>
      </c>
      <c r="L3" s="59">
        <v>0</v>
      </c>
      <c r="M3" s="59">
        <v>5</v>
      </c>
      <c r="N3" s="59">
        <v>10</v>
      </c>
    </row>
    <row r="4" spans="1:14" x14ac:dyDescent="0.35">
      <c r="A4" s="17" t="s">
        <v>33</v>
      </c>
      <c r="B4" s="17">
        <f t="shared" ref="B4:B5" si="0">D4*(100%+E4)</f>
        <v>500</v>
      </c>
      <c r="C4" s="17"/>
      <c r="D4" s="2">
        <v>500</v>
      </c>
      <c r="E4" s="49">
        <v>0</v>
      </c>
      <c r="F4" s="6"/>
      <c r="G4" s="6"/>
      <c r="H4" s="6"/>
      <c r="I4" s="59" t="s">
        <v>24</v>
      </c>
      <c r="J4" s="65">
        <v>1735.5898528092775</v>
      </c>
      <c r="K4" s="65">
        <v>2763.3820633859973</v>
      </c>
      <c r="L4" s="65">
        <v>3791.1742739627184</v>
      </c>
      <c r="M4" s="65">
        <v>4818.9664845394391</v>
      </c>
      <c r="N4" s="65">
        <v>5846.7586951161584</v>
      </c>
    </row>
    <row r="5" spans="1:14" x14ac:dyDescent="0.35">
      <c r="A5" s="17" t="s">
        <v>52</v>
      </c>
      <c r="B5" s="17">
        <f t="shared" si="0"/>
        <v>2000</v>
      </c>
      <c r="C5" s="17"/>
      <c r="D5" s="2">
        <v>2000</v>
      </c>
      <c r="E5" s="49">
        <v>0</v>
      </c>
      <c r="F5" s="6"/>
      <c r="G5" s="6"/>
      <c r="H5" s="6"/>
      <c r="I5" s="59" t="s">
        <v>62</v>
      </c>
      <c r="J5" s="23">
        <v>0.2023778599893824</v>
      </c>
      <c r="K5" s="23">
        <v>0.23296092188887152</v>
      </c>
      <c r="L5" s="23">
        <v>0.26325251341756095</v>
      </c>
      <c r="M5" s="23">
        <v>0.29327531904792936</v>
      </c>
      <c r="N5" s="23">
        <v>0.32304978391392436</v>
      </c>
    </row>
    <row r="6" spans="1:14" x14ac:dyDescent="0.35">
      <c r="A6" s="17"/>
      <c r="B6" s="17"/>
      <c r="C6" s="17"/>
      <c r="D6" s="2"/>
      <c r="E6" s="49"/>
      <c r="F6" s="6"/>
      <c r="G6" s="6"/>
      <c r="H6" s="6"/>
      <c r="I6" s="59" t="s">
        <v>109</v>
      </c>
      <c r="J6" s="23">
        <v>0.18409511173554538</v>
      </c>
      <c r="K6" s="23">
        <v>0.20297400356205997</v>
      </c>
      <c r="L6" s="23">
        <v>0.2210037137994536</v>
      </c>
      <c r="M6" s="23">
        <v>0.238268353101172</v>
      </c>
      <c r="N6" s="23">
        <v>0.25483963801049136</v>
      </c>
    </row>
    <row r="7" spans="1:14" x14ac:dyDescent="0.35">
      <c r="A7" s="17" t="s">
        <v>34</v>
      </c>
      <c r="B7" s="17">
        <f>D7*(100%+E7)</f>
        <v>4000</v>
      </c>
      <c r="C7" s="17"/>
      <c r="D7" s="2">
        <v>4000</v>
      </c>
      <c r="E7" s="49">
        <v>0</v>
      </c>
      <c r="F7" s="6"/>
      <c r="G7" t="s">
        <v>272</v>
      </c>
      <c r="H7" s="6" t="s">
        <v>275</v>
      </c>
      <c r="I7" s="59" t="s">
        <v>63</v>
      </c>
      <c r="J7" s="24">
        <v>3.0724165988608627</v>
      </c>
      <c r="K7" s="24">
        <v>2.9201388888888888</v>
      </c>
      <c r="L7" s="24">
        <v>2.7085346215780999</v>
      </c>
      <c r="M7" s="24">
        <v>2.5255255255255253</v>
      </c>
      <c r="N7" s="24">
        <v>2.3656821378340367</v>
      </c>
    </row>
    <row r="8" spans="1:14" x14ac:dyDescent="0.35">
      <c r="A8" s="17" t="s">
        <v>39</v>
      </c>
      <c r="B8" s="17">
        <f>D8*(100%+E8)</f>
        <v>15000</v>
      </c>
      <c r="C8" s="17"/>
      <c r="D8" s="2">
        <v>15000</v>
      </c>
      <c r="E8" s="49">
        <v>0</v>
      </c>
      <c r="F8" s="6"/>
      <c r="G8" s="181">
        <v>12233.506270808821</v>
      </c>
      <c r="H8" s="86">
        <f>D8-G8</f>
        <v>2766.4937291911792</v>
      </c>
      <c r="I8" s="59" t="s">
        <v>64</v>
      </c>
      <c r="J8" s="24">
        <v>3.6912573738812036</v>
      </c>
      <c r="K8" s="24">
        <v>3.5257876275510203</v>
      </c>
      <c r="L8" s="24">
        <v>3.3716084628506442</v>
      </c>
      <c r="M8" s="24">
        <v>3.2276024101906153</v>
      </c>
      <c r="N8" s="24">
        <v>3.0927947569198011</v>
      </c>
    </row>
    <row r="9" spans="1:14" x14ac:dyDescent="0.35">
      <c r="A9" s="17" t="s">
        <v>40</v>
      </c>
      <c r="B9" s="17">
        <f>D9*(100%+E9)</f>
        <v>2</v>
      </c>
      <c r="C9" s="17"/>
      <c r="D9" s="2">
        <v>2</v>
      </c>
      <c r="E9" s="49">
        <v>0</v>
      </c>
      <c r="F9" s="6"/>
      <c r="G9" s="169">
        <v>1.6311341693438799</v>
      </c>
      <c r="H9" s="119">
        <f>D9-G9</f>
        <v>0.36886583065612011</v>
      </c>
    </row>
    <row r="10" spans="1:14" x14ac:dyDescent="0.35">
      <c r="A10" s="17" t="s">
        <v>37</v>
      </c>
      <c r="B10" s="18">
        <f t="shared" ref="B10:B12" si="1">D10*(100%+E10)</f>
        <v>0.6</v>
      </c>
      <c r="C10" s="17" t="s">
        <v>42</v>
      </c>
      <c r="D10" s="49">
        <v>0.6</v>
      </c>
      <c r="E10" s="49">
        <v>0</v>
      </c>
      <c r="F10" s="6"/>
      <c r="G10" s="6"/>
      <c r="H10" s="90"/>
      <c r="I10" s="58"/>
      <c r="J10" s="203" t="s">
        <v>119</v>
      </c>
      <c r="K10" s="203"/>
      <c r="L10" s="203"/>
      <c r="M10" s="203"/>
      <c r="N10" s="203"/>
    </row>
    <row r="11" spans="1:14" x14ac:dyDescent="0.35">
      <c r="A11" s="17" t="s">
        <v>38</v>
      </c>
      <c r="B11" s="19">
        <f t="shared" si="1"/>
        <v>5000</v>
      </c>
      <c r="C11" s="17"/>
      <c r="D11" s="54">
        <v>5000</v>
      </c>
      <c r="E11" s="49">
        <v>0</v>
      </c>
      <c r="F11" s="6"/>
      <c r="G11" s="6"/>
      <c r="H11" s="6"/>
      <c r="I11" s="58"/>
      <c r="J11" s="59">
        <v>-10</v>
      </c>
      <c r="K11" s="59">
        <v>-5</v>
      </c>
      <c r="L11" s="59">
        <v>0</v>
      </c>
      <c r="M11" s="59">
        <v>5</v>
      </c>
      <c r="N11" s="59">
        <v>10</v>
      </c>
    </row>
    <row r="12" spans="1:14" x14ac:dyDescent="0.35">
      <c r="A12" s="17" t="s">
        <v>47</v>
      </c>
      <c r="B12" s="18">
        <f t="shared" si="1"/>
        <v>0.4</v>
      </c>
      <c r="C12" s="17"/>
      <c r="D12" s="49">
        <v>0.4</v>
      </c>
      <c r="E12" s="49">
        <v>0</v>
      </c>
      <c r="F12" s="6"/>
      <c r="G12" s="6"/>
      <c r="H12" s="6"/>
      <c r="I12" s="59" t="s">
        <v>24</v>
      </c>
      <c r="J12" s="65">
        <v>6874.5509056928749</v>
      </c>
      <c r="K12" s="65">
        <v>5332.8625898277996</v>
      </c>
      <c r="L12" s="65">
        <v>3791.1742739627184</v>
      </c>
      <c r="M12" s="65">
        <v>2249.485958097639</v>
      </c>
      <c r="N12" s="65">
        <v>707.79764223255734</v>
      </c>
    </row>
    <row r="13" spans="1:14" x14ac:dyDescent="0.35">
      <c r="A13" s="35" t="s">
        <v>85</v>
      </c>
      <c r="B13" s="36">
        <f>D13*(100%+E13)</f>
        <v>0</v>
      </c>
      <c r="C13" s="17"/>
      <c r="D13" s="49">
        <v>0</v>
      </c>
      <c r="E13" s="49">
        <v>0</v>
      </c>
      <c r="F13" s="6"/>
      <c r="G13" s="6"/>
      <c r="H13" s="6"/>
      <c r="I13" s="59" t="s">
        <v>62</v>
      </c>
      <c r="J13" s="23">
        <v>0.35259438460974324</v>
      </c>
      <c r="K13" s="23">
        <v>0.30819239604459758</v>
      </c>
      <c r="L13" s="23">
        <v>0.26325251341756095</v>
      </c>
      <c r="M13" s="23">
        <v>0.21770733830549172</v>
      </c>
      <c r="N13" s="23">
        <v>0.17147808681448407</v>
      </c>
    </row>
    <row r="14" spans="1:14" x14ac:dyDescent="0.35">
      <c r="A14" s="6" t="s">
        <v>86</v>
      </c>
      <c r="B14" s="35"/>
      <c r="D14" s="6"/>
      <c r="E14" s="6"/>
      <c r="F14" s="6"/>
      <c r="G14" s="6"/>
      <c r="H14" s="6"/>
      <c r="I14" s="59" t="s">
        <v>109</v>
      </c>
      <c r="J14" s="23">
        <v>0.2707792553881081</v>
      </c>
      <c r="K14" s="23">
        <v>0.24663659793790438</v>
      </c>
      <c r="L14" s="23">
        <v>0.2210037137994536</v>
      </c>
      <c r="M14" s="23">
        <v>0.19364652532907289</v>
      </c>
      <c r="N14" s="23">
        <v>0.16426741537799661</v>
      </c>
    </row>
    <row r="15" spans="1:14" x14ac:dyDescent="0.35">
      <c r="A15" s="5"/>
      <c r="B15" s="5">
        <v>0</v>
      </c>
      <c r="C15" s="5">
        <v>1</v>
      </c>
      <c r="D15" s="5">
        <v>2</v>
      </c>
      <c r="E15" s="5">
        <v>3</v>
      </c>
      <c r="F15" s="5">
        <v>4</v>
      </c>
      <c r="G15" s="6"/>
      <c r="H15" s="6"/>
      <c r="I15" s="59" t="s">
        <v>63</v>
      </c>
      <c r="J15" s="24">
        <v>2.2248677248677255</v>
      </c>
      <c r="K15" s="24">
        <v>2.4429920116194626</v>
      </c>
      <c r="L15" s="24">
        <v>2.7085346215780999</v>
      </c>
      <c r="M15" s="24">
        <v>3.0171793847383142</v>
      </c>
      <c r="N15" s="24">
        <v>3.189189189189189</v>
      </c>
    </row>
    <row r="16" spans="1:14" x14ac:dyDescent="0.35">
      <c r="A16" s="15" t="s">
        <v>31</v>
      </c>
      <c r="B16" s="6"/>
      <c r="C16" s="6"/>
      <c r="D16" s="6"/>
      <c r="E16" s="6"/>
      <c r="F16" s="6"/>
      <c r="G16" s="6"/>
      <c r="H16" s="6"/>
      <c r="I16" s="59" t="s">
        <v>64</v>
      </c>
      <c r="J16" s="24">
        <v>2.9436921296296301</v>
      </c>
      <c r="K16" s="24">
        <v>3.159104760187522</v>
      </c>
      <c r="L16" s="24">
        <v>3.3716084628506442</v>
      </c>
      <c r="M16" s="24">
        <v>3.6070350579304828</v>
      </c>
      <c r="N16" s="24">
        <v>3.8693050570101346</v>
      </c>
    </row>
    <row r="17" spans="1:14" x14ac:dyDescent="0.35">
      <c r="A17" s="6" t="s">
        <v>32</v>
      </c>
      <c r="B17" s="6">
        <f>-B3</f>
        <v>-9500</v>
      </c>
      <c r="C17" s="6"/>
      <c r="D17" s="6"/>
      <c r="E17" s="6"/>
      <c r="F17" s="6"/>
      <c r="G17" s="6"/>
      <c r="H17" s="6"/>
    </row>
    <row r="18" spans="1:14" x14ac:dyDescent="0.35">
      <c r="A18" s="6" t="s">
        <v>33</v>
      </c>
      <c r="B18" s="6">
        <f>-B4</f>
        <v>-500</v>
      </c>
      <c r="C18" s="6"/>
      <c r="D18" s="6"/>
      <c r="E18" s="6"/>
      <c r="F18" s="6"/>
      <c r="G18" s="6"/>
      <c r="H18" s="6"/>
    </row>
    <row r="19" spans="1:14" x14ac:dyDescent="0.35">
      <c r="A19" s="6" t="s">
        <v>34</v>
      </c>
      <c r="B19" s="6">
        <f>-B7</f>
        <v>-4000</v>
      </c>
      <c r="C19" s="6"/>
      <c r="D19" s="6"/>
      <c r="E19" s="6"/>
      <c r="F19" s="6"/>
      <c r="G19" s="6"/>
      <c r="H19" s="6"/>
    </row>
    <row r="20" spans="1:14" x14ac:dyDescent="0.35">
      <c r="A20" s="7" t="s">
        <v>35</v>
      </c>
      <c r="B20" s="6">
        <f>SUM(B17:B19)</f>
        <v>-14000</v>
      </c>
      <c r="C20" s="6"/>
      <c r="D20" s="6"/>
      <c r="E20" s="6"/>
      <c r="F20" s="6"/>
      <c r="G20" s="6"/>
      <c r="H20" s="6"/>
    </row>
    <row r="21" spans="1:14" ht="11.5" customHeight="1" x14ac:dyDescent="0.35">
      <c r="A21" s="6"/>
      <c r="B21" s="6"/>
      <c r="C21" s="6"/>
      <c r="D21" s="6"/>
      <c r="E21" s="6"/>
      <c r="F21" s="6"/>
      <c r="G21" s="6"/>
      <c r="H21" s="6"/>
    </row>
    <row r="22" spans="1:14" ht="18.5" x14ac:dyDescent="0.45">
      <c r="A22" s="15" t="s">
        <v>59</v>
      </c>
      <c r="B22" s="6"/>
      <c r="C22" s="6"/>
      <c r="D22" s="6"/>
      <c r="E22" s="6"/>
      <c r="F22" s="6"/>
      <c r="G22" s="6"/>
      <c r="H22" s="6"/>
      <c r="I22" s="189" t="s">
        <v>123</v>
      </c>
      <c r="J22" s="67" t="s">
        <v>120</v>
      </c>
      <c r="K22" s="67" t="s">
        <v>127</v>
      </c>
      <c r="L22" s="67" t="s">
        <v>24</v>
      </c>
      <c r="M22" s="67" t="s">
        <v>128</v>
      </c>
      <c r="N22" s="67" t="s">
        <v>129</v>
      </c>
    </row>
    <row r="23" spans="1:14" ht="18.5" x14ac:dyDescent="0.45">
      <c r="A23" s="35" t="s">
        <v>36</v>
      </c>
      <c r="B23" s="6"/>
      <c r="C23" s="32">
        <f>$B$8*$B$9*(1+$B$13)</f>
        <v>30000</v>
      </c>
      <c r="D23" s="32">
        <f>C23*(1+$B$13)</f>
        <v>30000</v>
      </c>
      <c r="E23" s="32">
        <f>D23*(1+$B$13)</f>
        <v>30000</v>
      </c>
      <c r="F23" s="32">
        <f>E23*(1+$B$13)</f>
        <v>30000</v>
      </c>
      <c r="G23" s="6"/>
      <c r="H23" s="6"/>
      <c r="I23" s="68" t="s">
        <v>124</v>
      </c>
      <c r="J23" s="75">
        <v>20000</v>
      </c>
      <c r="K23" s="75">
        <v>2500</v>
      </c>
      <c r="L23" s="78">
        <v>17495.070414985701</v>
      </c>
      <c r="M23" s="75">
        <v>0.2</v>
      </c>
      <c r="N23" s="79">
        <f>L23*M23</f>
        <v>3499.0140829971406</v>
      </c>
    </row>
    <row r="24" spans="1:14" ht="18.5" x14ac:dyDescent="0.45">
      <c r="A24" s="37" t="s">
        <v>37</v>
      </c>
      <c r="B24" s="6"/>
      <c r="C24" s="32">
        <f>-C23*$B$10</f>
        <v>-18000</v>
      </c>
      <c r="D24" s="32">
        <f t="shared" ref="D24:F24" si="2">-D23*$B$10</f>
        <v>-18000</v>
      </c>
      <c r="E24" s="32">
        <f t="shared" si="2"/>
        <v>-18000</v>
      </c>
      <c r="F24" s="32">
        <f t="shared" si="2"/>
        <v>-18000</v>
      </c>
      <c r="G24" s="6"/>
      <c r="H24" s="6"/>
      <c r="I24" s="70" t="s">
        <v>125</v>
      </c>
      <c r="J24" s="76">
        <v>15000</v>
      </c>
      <c r="K24" s="76">
        <v>2000</v>
      </c>
      <c r="L24" s="80">
        <v>3791.1742739627184</v>
      </c>
      <c r="M24" s="76">
        <v>0.6</v>
      </c>
      <c r="N24" s="81">
        <f t="shared" ref="N24:N25" si="3">L24*M24</f>
        <v>2274.704564377631</v>
      </c>
    </row>
    <row r="25" spans="1:14" ht="18.5" x14ac:dyDescent="0.45">
      <c r="A25" s="38" t="s">
        <v>38</v>
      </c>
      <c r="B25" s="16"/>
      <c r="C25" s="33">
        <f>-B11*(1+$B$13)</f>
        <v>-5000</v>
      </c>
      <c r="D25" s="33">
        <f>C25*(1+$B$13)</f>
        <v>-5000</v>
      </c>
      <c r="E25" s="33">
        <f>D25*(1+$B$13)</f>
        <v>-5000</v>
      </c>
      <c r="F25" s="33">
        <f>E25*(1+$B$13)</f>
        <v>-5000</v>
      </c>
      <c r="G25" s="6"/>
      <c r="H25" s="6"/>
      <c r="I25" s="71" t="s">
        <v>126</v>
      </c>
      <c r="J25" s="77">
        <v>10000</v>
      </c>
      <c r="K25" s="77">
        <v>1500</v>
      </c>
      <c r="L25" s="82">
        <v>-7776.7089168492093</v>
      </c>
      <c r="M25" s="77">
        <v>0.2</v>
      </c>
      <c r="N25" s="83">
        <f t="shared" si="3"/>
        <v>-1555.341783369842</v>
      </c>
    </row>
    <row r="26" spans="1:14" ht="18.5" x14ac:dyDescent="0.45">
      <c r="A26" s="7" t="s">
        <v>45</v>
      </c>
      <c r="B26" s="6"/>
      <c r="C26" s="34">
        <f>SUM(C23:C25)</f>
        <v>7000</v>
      </c>
      <c r="D26" s="34">
        <f>SUM(D23:D25)</f>
        <v>7000</v>
      </c>
      <c r="E26" s="34">
        <f>SUM(E23:E25)</f>
        <v>7000</v>
      </c>
      <c r="F26" s="34">
        <f>SUM(F23:F25)</f>
        <v>7000</v>
      </c>
      <c r="G26" s="6"/>
      <c r="H26" s="6"/>
      <c r="I26" s="68"/>
      <c r="J26" s="68"/>
      <c r="K26" s="68"/>
      <c r="L26" s="68"/>
      <c r="M26" s="74" t="s">
        <v>130</v>
      </c>
      <c r="N26" s="69">
        <f>SUM(N23:N25)</f>
        <v>4218.3768640049293</v>
      </c>
    </row>
    <row r="27" spans="1:14" ht="18.5" x14ac:dyDescent="0.45">
      <c r="A27" s="16" t="s">
        <v>43</v>
      </c>
      <c r="B27" s="16"/>
      <c r="C27" s="33">
        <f>($B$17+$B$18)*C57</f>
        <v>-2000</v>
      </c>
      <c r="D27" s="33">
        <f>($B$17+$B$18)*D57</f>
        <v>-3200</v>
      </c>
      <c r="E27" s="33">
        <f>($B$17+$B$18)*E57</f>
        <v>-1920</v>
      </c>
      <c r="F27" s="33">
        <f>($B$17+$B$18)*F57</f>
        <v>-1152</v>
      </c>
      <c r="G27" s="6"/>
      <c r="H27" s="6"/>
      <c r="I27" s="68"/>
      <c r="J27" s="68"/>
      <c r="K27" s="68"/>
      <c r="L27" s="68"/>
      <c r="M27" s="74" t="s">
        <v>131</v>
      </c>
      <c r="N27" s="72">
        <f>SQRT((M23*(L23-N26)^2+M24*(L24-N26)^2+M25*(L25-N26)^2))</f>
        <v>8008.7474762976499</v>
      </c>
    </row>
    <row r="28" spans="1:14" ht="18.5" x14ac:dyDescent="0.45">
      <c r="A28" s="7" t="s">
        <v>48</v>
      </c>
      <c r="B28" s="6"/>
      <c r="C28" s="34">
        <f>C26+C27</f>
        <v>5000</v>
      </c>
      <c r="D28" s="34">
        <f t="shared" ref="D28:F28" si="4">D26+D27</f>
        <v>3800</v>
      </c>
      <c r="E28" s="34">
        <f t="shared" si="4"/>
        <v>5080</v>
      </c>
      <c r="F28" s="34">
        <f t="shared" si="4"/>
        <v>5848</v>
      </c>
      <c r="G28" s="6"/>
      <c r="H28" s="6"/>
      <c r="I28" s="68"/>
      <c r="J28" s="68"/>
      <c r="K28" s="68"/>
      <c r="L28" s="68"/>
      <c r="M28" s="74" t="s">
        <v>132</v>
      </c>
      <c r="N28" s="73">
        <f>N27/N26</f>
        <v>1.898537692218931</v>
      </c>
    </row>
    <row r="29" spans="1:14" x14ac:dyDescent="0.35">
      <c r="A29" s="8" t="s">
        <v>112</v>
      </c>
      <c r="B29" s="8"/>
      <c r="C29" s="52">
        <f>IF(B28+B29&lt;0,B28+B29,0)</f>
        <v>0</v>
      </c>
      <c r="D29" s="52">
        <f>IF(C28+C29&lt;0,C28+C29,0)</f>
        <v>0</v>
      </c>
      <c r="E29" s="52">
        <f t="shared" ref="E29" si="5">IF(D28+D29&lt;0,D28+D29,0)</f>
        <v>0</v>
      </c>
      <c r="F29" s="52">
        <f>IF(E28+E29&lt;0,E28+E29,0)</f>
        <v>0</v>
      </c>
      <c r="G29" s="6"/>
      <c r="H29" s="6"/>
    </row>
    <row r="30" spans="1:14" x14ac:dyDescent="0.35">
      <c r="A30" s="16" t="s">
        <v>46</v>
      </c>
      <c r="B30" s="16"/>
      <c r="C30" s="33">
        <f>IF(C28+C29&lt;0,0,-(C28+C29)*$B$12)</f>
        <v>-2000</v>
      </c>
      <c r="D30" s="33">
        <f t="shared" ref="D30:F30" si="6">IF(D28+D29&lt;0,0,-(D28+D29)*$B$12)</f>
        <v>-1520</v>
      </c>
      <c r="E30" s="33">
        <f t="shared" si="6"/>
        <v>-2032</v>
      </c>
      <c r="F30" s="33">
        <f t="shared" si="6"/>
        <v>-2339.2000000000003</v>
      </c>
      <c r="G30" s="6"/>
      <c r="H30" s="6"/>
    </row>
    <row r="31" spans="1:14" x14ac:dyDescent="0.35">
      <c r="A31" s="7" t="s">
        <v>49</v>
      </c>
      <c r="B31" s="6"/>
      <c r="C31" s="34">
        <f>C28+C30</f>
        <v>3000</v>
      </c>
      <c r="D31" s="34">
        <f>D28+D30</f>
        <v>2280</v>
      </c>
      <c r="E31" s="34">
        <f>E28+E30</f>
        <v>3048</v>
      </c>
      <c r="F31" s="34">
        <f>F28+F30</f>
        <v>3508.7999999999997</v>
      </c>
      <c r="G31" s="6"/>
      <c r="H31" s="6"/>
    </row>
    <row r="32" spans="1:14" x14ac:dyDescent="0.35">
      <c r="A32" s="16" t="s">
        <v>55</v>
      </c>
      <c r="B32" s="16"/>
      <c r="C32" s="33">
        <f>-C27</f>
        <v>2000</v>
      </c>
      <c r="D32" s="33">
        <f>-D27</f>
        <v>3200</v>
      </c>
      <c r="E32" s="33">
        <f>-E27</f>
        <v>1920</v>
      </c>
      <c r="F32" s="33">
        <f>-F27</f>
        <v>1152</v>
      </c>
      <c r="G32" s="6"/>
      <c r="H32" s="6"/>
    </row>
    <row r="33" spans="1:9" x14ac:dyDescent="0.35">
      <c r="A33" s="7" t="s">
        <v>58</v>
      </c>
      <c r="B33" s="6"/>
      <c r="C33" s="34">
        <f>C31+C32</f>
        <v>5000</v>
      </c>
      <c r="D33" s="34">
        <f t="shared" ref="D33:F33" si="7">D31+D32</f>
        <v>5480</v>
      </c>
      <c r="E33" s="34">
        <f t="shared" si="7"/>
        <v>4968</v>
      </c>
      <c r="F33" s="34">
        <f t="shared" si="7"/>
        <v>4660.7999999999993</v>
      </c>
      <c r="G33" s="6"/>
      <c r="H33" s="6"/>
    </row>
    <row r="34" spans="1:9" ht="6.65" customHeight="1" x14ac:dyDescent="0.35">
      <c r="A34" s="6"/>
      <c r="B34" s="6"/>
      <c r="C34" s="6"/>
      <c r="D34" s="6"/>
      <c r="E34" s="6"/>
      <c r="F34" s="6"/>
      <c r="G34" s="6"/>
      <c r="H34" s="6"/>
    </row>
    <row r="35" spans="1:9" x14ac:dyDescent="0.35">
      <c r="A35" s="15" t="s">
        <v>51</v>
      </c>
      <c r="B35" s="6"/>
      <c r="C35" s="6"/>
      <c r="D35" s="6"/>
      <c r="E35" s="6"/>
      <c r="F35" s="6"/>
      <c r="G35" s="6"/>
      <c r="H35" s="6"/>
    </row>
    <row r="36" spans="1:9" x14ac:dyDescent="0.35">
      <c r="A36" s="6" t="s">
        <v>56</v>
      </c>
      <c r="B36" s="6"/>
      <c r="C36" s="6"/>
      <c r="D36" s="6"/>
      <c r="E36" s="6"/>
      <c r="F36" s="6">
        <f>B5</f>
        <v>2000</v>
      </c>
      <c r="G36" s="6"/>
      <c r="H36" s="6"/>
    </row>
    <row r="37" spans="1:9" x14ac:dyDescent="0.35">
      <c r="A37" s="8" t="s">
        <v>54</v>
      </c>
      <c r="B37" s="6"/>
      <c r="C37" s="6"/>
      <c r="D37" s="6"/>
      <c r="E37" s="6"/>
      <c r="F37" s="6">
        <f>-(B5-F59)*B12</f>
        <v>-108.80000000000001</v>
      </c>
      <c r="G37" s="6"/>
      <c r="H37" s="6"/>
    </row>
    <row r="38" spans="1:9" x14ac:dyDescent="0.35">
      <c r="A38" s="16" t="s">
        <v>57</v>
      </c>
      <c r="B38" s="16"/>
      <c r="C38" s="16"/>
      <c r="D38" s="16"/>
      <c r="E38" s="16"/>
      <c r="F38" s="16">
        <f>B7</f>
        <v>4000</v>
      </c>
      <c r="G38" s="6"/>
      <c r="H38" s="6"/>
    </row>
    <row r="39" spans="1:9" x14ac:dyDescent="0.35">
      <c r="A39" s="7" t="s">
        <v>60</v>
      </c>
      <c r="B39" s="6"/>
      <c r="C39" s="6"/>
      <c r="D39" s="6"/>
      <c r="E39" s="6"/>
      <c r="F39" s="7">
        <f>SUM(F36:F38)</f>
        <v>5891.2</v>
      </c>
      <c r="G39" s="6"/>
      <c r="H39" s="6"/>
    </row>
    <row r="40" spans="1:9" ht="9.15" customHeight="1" x14ac:dyDescent="0.35">
      <c r="A40" s="6"/>
      <c r="B40" s="6"/>
      <c r="C40" s="6"/>
      <c r="D40" s="6"/>
      <c r="E40" s="6"/>
      <c r="F40" s="6"/>
      <c r="G40" s="6"/>
      <c r="H40" s="6"/>
    </row>
    <row r="41" spans="1:9" x14ac:dyDescent="0.35">
      <c r="A41" s="27" t="s">
        <v>61</v>
      </c>
      <c r="B41" s="28">
        <f>B20</f>
        <v>-14000</v>
      </c>
      <c r="C41" s="28">
        <f>C33</f>
        <v>5000</v>
      </c>
      <c r="D41" s="28">
        <f t="shared" ref="D41:E41" si="8">D33</f>
        <v>5480</v>
      </c>
      <c r="E41" s="28">
        <f t="shared" si="8"/>
        <v>4968</v>
      </c>
      <c r="F41" s="28">
        <f>F33+F39</f>
        <v>10552</v>
      </c>
      <c r="G41" s="6"/>
      <c r="H41" s="6"/>
    </row>
    <row r="42" spans="1:9" outlineLevel="1" x14ac:dyDescent="0.35">
      <c r="A42" s="7" t="s">
        <v>29</v>
      </c>
      <c r="B42" s="9">
        <f>B41/(1+$E$50)^B15</f>
        <v>-14000</v>
      </c>
      <c r="C42" s="9">
        <f>C41/(1+$E$50)^C15</f>
        <v>4347.826086956522</v>
      </c>
      <c r="D42" s="9">
        <f>D41/(1+$E$50)^D15</f>
        <v>4143.6672967863897</v>
      </c>
      <c r="E42" s="9">
        <f>E41/(1+$E$50)^E15</f>
        <v>3266.5406427221183</v>
      </c>
      <c r="F42" s="9">
        <f>F41/(1+$E$50)^F15</f>
        <v>6033.1402474976885</v>
      </c>
      <c r="G42" s="6"/>
      <c r="H42" s="6" t="s">
        <v>135</v>
      </c>
      <c r="I42" s="84">
        <f>SUM(B41:F41)</f>
        <v>12000</v>
      </c>
    </row>
    <row r="43" spans="1:9" outlineLevel="1" x14ac:dyDescent="0.35">
      <c r="A43" s="6" t="s">
        <v>66</v>
      </c>
      <c r="B43" s="10">
        <f>B41</f>
        <v>-14000</v>
      </c>
      <c r="C43" s="10">
        <f t="shared" ref="C43:F44" si="9">B43+C41</f>
        <v>-9000</v>
      </c>
      <c r="D43" s="10">
        <f t="shared" si="9"/>
        <v>-3520</v>
      </c>
      <c r="E43" s="10">
        <f t="shared" si="9"/>
        <v>1448</v>
      </c>
      <c r="F43" s="10">
        <f t="shared" si="9"/>
        <v>12000</v>
      </c>
      <c r="G43" s="6"/>
      <c r="H43" s="6" t="s">
        <v>136</v>
      </c>
      <c r="I43" s="84">
        <f>SUM(B45:F45)</f>
        <v>8977.3323565882147</v>
      </c>
    </row>
    <row r="44" spans="1:9" outlineLevel="1" x14ac:dyDescent="0.35">
      <c r="A44" s="6" t="s">
        <v>67</v>
      </c>
      <c r="B44" s="10">
        <f>B42</f>
        <v>-14000</v>
      </c>
      <c r="C44" s="10">
        <f t="shared" si="9"/>
        <v>-9652.173913043478</v>
      </c>
      <c r="D44" s="10">
        <f t="shared" si="9"/>
        <v>-5508.5066162570884</v>
      </c>
      <c r="E44" s="10">
        <f t="shared" si="9"/>
        <v>-2241.9659735349701</v>
      </c>
      <c r="F44" s="10">
        <f t="shared" si="9"/>
        <v>3791.1742739627184</v>
      </c>
      <c r="G44" s="6"/>
      <c r="H44" s="6" t="s">
        <v>29</v>
      </c>
      <c r="I44" s="61">
        <f>B50</f>
        <v>3791.1742739627184</v>
      </c>
    </row>
    <row r="45" spans="1:9" ht="15.65" customHeight="1" outlineLevel="1" x14ac:dyDescent="0.35">
      <c r="A45" s="58" t="s">
        <v>134</v>
      </c>
      <c r="B45" s="85">
        <f>B41*(1+$E$54)^B15/(1+$E$50)^B15</f>
        <v>-14000</v>
      </c>
      <c r="C45" s="85">
        <f>C41*(1+$E$54)^C15/(1+$E$50)^C15</f>
        <v>4782.608695652174</v>
      </c>
      <c r="D45" s="85">
        <f>D41*(1+$E$54)^D15/(1+$E$50)^D15</f>
        <v>5013.8374291115324</v>
      </c>
      <c r="E45" s="85">
        <f>E41*(1+$E$54)^E15/(1+$E$50)^E15</f>
        <v>4347.7655954631409</v>
      </c>
      <c r="F45" s="85">
        <f>F41*(1+$E$54)^F15/(1+$E$50)^F15</f>
        <v>8833.1206363613674</v>
      </c>
      <c r="G45" s="6"/>
      <c r="H45" s="6" t="s">
        <v>137</v>
      </c>
      <c r="I45" s="61">
        <f>I42-I43</f>
        <v>3022.6676434117853</v>
      </c>
    </row>
    <row r="46" spans="1:9" outlineLevel="1" x14ac:dyDescent="0.35">
      <c r="A46" s="58" t="s">
        <v>137</v>
      </c>
      <c r="B46" s="85">
        <f>B41-B45</f>
        <v>0</v>
      </c>
      <c r="C46" s="85">
        <f>C41-C45</f>
        <v>217.39130434782601</v>
      </c>
      <c r="D46" s="85">
        <f t="shared" ref="D46:F46" si="10">D41-D45</f>
        <v>466.1625708884676</v>
      </c>
      <c r="E46" s="85">
        <f t="shared" si="10"/>
        <v>620.23440453685907</v>
      </c>
      <c r="F46" s="85">
        <f t="shared" si="10"/>
        <v>1718.8793636386326</v>
      </c>
      <c r="G46" s="6"/>
      <c r="H46" s="6" t="s">
        <v>139</v>
      </c>
      <c r="I46" s="61">
        <f>I43-I44</f>
        <v>5186.1580826254958</v>
      </c>
    </row>
    <row r="47" spans="1:9" outlineLevel="1" x14ac:dyDescent="0.35">
      <c r="A47" s="58" t="s">
        <v>138</v>
      </c>
      <c r="B47" s="85">
        <f>B45-B42</f>
        <v>0</v>
      </c>
      <c r="C47" s="85">
        <f>C45-C42</f>
        <v>434.78260869565202</v>
      </c>
      <c r="D47" s="85">
        <f>D45-D42</f>
        <v>870.17013232514273</v>
      </c>
      <c r="E47" s="85">
        <f>E45-E42</f>
        <v>1081.2249527410227</v>
      </c>
      <c r="F47" s="85">
        <f>F45-F42</f>
        <v>2799.9803888636789</v>
      </c>
      <c r="G47" s="6"/>
      <c r="H47" s="6"/>
      <c r="I47" s="61"/>
    </row>
    <row r="48" spans="1:9" outlineLevel="1" x14ac:dyDescent="0.35">
      <c r="A48" s="6"/>
      <c r="B48" s="10"/>
      <c r="C48" s="6"/>
      <c r="D48" s="10"/>
      <c r="E48" s="10"/>
      <c r="F48" s="10"/>
      <c r="G48" s="6"/>
      <c r="H48" s="6"/>
      <c r="I48" s="84"/>
    </row>
    <row r="49" spans="1:14" x14ac:dyDescent="0.35">
      <c r="A49" s="6"/>
      <c r="B49" s="6"/>
      <c r="C49" s="6"/>
      <c r="D49" s="6"/>
      <c r="E49" s="6"/>
      <c r="F49" s="6"/>
      <c r="G49" s="6"/>
      <c r="H49" s="6"/>
    </row>
    <row r="50" spans="1:14" x14ac:dyDescent="0.35">
      <c r="A50" s="21" t="s">
        <v>24</v>
      </c>
      <c r="B50" s="22">
        <f>SUM(B42:F42)</f>
        <v>3791.1742739627184</v>
      </c>
      <c r="C50" s="25"/>
      <c r="D50" s="21" t="s">
        <v>65</v>
      </c>
      <c r="E50" s="56">
        <f>F50*(100%+G50)</f>
        <v>0.15</v>
      </c>
      <c r="F50" s="49">
        <v>0.15</v>
      </c>
      <c r="G50" s="49">
        <v>0</v>
      </c>
      <c r="H50" s="6"/>
    </row>
    <row r="51" spans="1:14" x14ac:dyDescent="0.35">
      <c r="A51" s="21" t="s">
        <v>62</v>
      </c>
      <c r="B51" s="23">
        <f>IRR(B41:F41)</f>
        <v>0.26325251341756095</v>
      </c>
      <c r="C51" s="25"/>
      <c r="D51" s="25" t="s">
        <v>89</v>
      </c>
      <c r="E51" s="25"/>
      <c r="F51" s="6"/>
      <c r="G51" s="6"/>
      <c r="H51" s="6"/>
    </row>
    <row r="52" spans="1:14" x14ac:dyDescent="0.35">
      <c r="A52" s="21" t="s">
        <v>109</v>
      </c>
      <c r="B52" s="23">
        <f>MIRR(B41:F41,E50,E50)</f>
        <v>0.2210037137994536</v>
      </c>
      <c r="C52" s="25"/>
      <c r="D52" s="25" t="s">
        <v>90</v>
      </c>
      <c r="E52" s="25"/>
      <c r="F52" s="6"/>
      <c r="G52" s="6"/>
      <c r="H52" s="6"/>
    </row>
    <row r="53" spans="1:14" x14ac:dyDescent="0.35">
      <c r="A53" s="21" t="s">
        <v>63</v>
      </c>
      <c r="B53" s="24">
        <f>MATCH(0,B43:F43)-1+-INDEX(B43:F43,1,MATCH(0,B43:F43))/INDEX(C41:F41,1,MATCH(0,B43:F43))</f>
        <v>2.7085346215780999</v>
      </c>
      <c r="C53" s="25"/>
      <c r="D53" s="25" t="s">
        <v>91</v>
      </c>
      <c r="E53" s="25"/>
      <c r="F53" s="6"/>
      <c r="G53" s="6"/>
      <c r="H53" s="6"/>
    </row>
    <row r="54" spans="1:14" x14ac:dyDescent="0.35">
      <c r="A54" s="21" t="s">
        <v>64</v>
      </c>
      <c r="B54" s="24">
        <f>MATCH(0,B44:F44)-1+-INDEX(B44:F44,1,MATCH(0,B44:F44))/INDEX(C42:F42,1,MATCH(0,B44:F44))</f>
        <v>3.3716084628506442</v>
      </c>
      <c r="C54" s="25"/>
      <c r="D54" s="21" t="s">
        <v>133</v>
      </c>
      <c r="E54" s="26">
        <v>0.1</v>
      </c>
      <c r="F54" s="6"/>
      <c r="G54" s="6"/>
      <c r="H54" s="6"/>
    </row>
    <row r="55" spans="1:14" x14ac:dyDescent="0.35">
      <c r="A55" s="6"/>
      <c r="B55" s="6"/>
      <c r="C55" s="6"/>
      <c r="D55" s="6"/>
      <c r="E55" s="6"/>
      <c r="F55" s="6"/>
      <c r="G55" s="6"/>
      <c r="H55" s="6"/>
    </row>
    <row r="56" spans="1:14" x14ac:dyDescent="0.35">
      <c r="A56" s="17" t="s">
        <v>50</v>
      </c>
      <c r="B56" s="17"/>
      <c r="C56" s="17"/>
      <c r="D56" s="17"/>
      <c r="E56" s="17"/>
      <c r="F56" s="17"/>
      <c r="G56" s="17"/>
      <c r="H56" s="17"/>
    </row>
    <row r="57" spans="1:14" x14ac:dyDescent="0.35">
      <c r="A57" s="17" t="s">
        <v>44</v>
      </c>
      <c r="B57" s="17"/>
      <c r="C57" s="18">
        <v>0.2</v>
      </c>
      <c r="D57" s="18">
        <v>0.32</v>
      </c>
      <c r="E57" s="20">
        <v>0.192</v>
      </c>
      <c r="F57" s="20">
        <v>0.1152</v>
      </c>
      <c r="G57" s="20">
        <v>0.1152</v>
      </c>
      <c r="H57" s="20">
        <v>5.7599999999999998E-2</v>
      </c>
    </row>
    <row r="58" spans="1:14" x14ac:dyDescent="0.35">
      <c r="A58" s="17"/>
      <c r="B58" s="17"/>
      <c r="C58" s="17"/>
      <c r="D58" s="17"/>
      <c r="E58" s="17"/>
      <c r="F58" s="17"/>
      <c r="G58" s="17"/>
      <c r="H58" s="17"/>
    </row>
    <row r="59" spans="1:14" x14ac:dyDescent="0.35">
      <c r="A59" s="17" t="s">
        <v>53</v>
      </c>
      <c r="B59" s="17">
        <f>B3+B4</f>
        <v>10000</v>
      </c>
      <c r="C59" s="17">
        <f>B59-C57*$B$59</f>
        <v>8000</v>
      </c>
      <c r="D59" s="17">
        <f t="shared" ref="D59:H59" si="11">C59-D57*$B$59</f>
        <v>4800</v>
      </c>
      <c r="E59" s="17">
        <f t="shared" si="11"/>
        <v>2880</v>
      </c>
      <c r="F59" s="17">
        <f t="shared" si="11"/>
        <v>1728</v>
      </c>
      <c r="G59" s="17">
        <f t="shared" si="11"/>
        <v>576</v>
      </c>
      <c r="H59" s="17">
        <f t="shared" si="11"/>
        <v>0</v>
      </c>
    </row>
    <row r="60" spans="1:14" x14ac:dyDescent="0.35">
      <c r="A60" s="6"/>
      <c r="B60" s="6"/>
      <c r="C60" s="6"/>
      <c r="D60" s="6"/>
      <c r="E60" s="6"/>
      <c r="F60" s="6"/>
      <c r="G60" s="6"/>
      <c r="H60" s="6"/>
    </row>
    <row r="61" spans="1:14" x14ac:dyDescent="0.35">
      <c r="D61" t="s">
        <v>140</v>
      </c>
    </row>
    <row r="62" spans="1:14" x14ac:dyDescent="0.35">
      <c r="A62" s="60" t="s">
        <v>122</v>
      </c>
    </row>
    <row r="63" spans="1:14" x14ac:dyDescent="0.35">
      <c r="B63" s="204" t="s">
        <v>120</v>
      </c>
      <c r="C63" s="204"/>
      <c r="D63" s="204"/>
      <c r="E63" s="204"/>
      <c r="F63" s="204"/>
      <c r="G63" s="204"/>
      <c r="I63" s="204" t="s">
        <v>121</v>
      </c>
      <c r="J63" s="204"/>
      <c r="K63" s="204"/>
      <c r="L63" s="204"/>
      <c r="M63" s="204"/>
      <c r="N63" s="204"/>
    </row>
    <row r="64" spans="1:14" x14ac:dyDescent="0.35">
      <c r="C64" s="21" t="s">
        <v>24</v>
      </c>
      <c r="D64" s="21" t="s">
        <v>62</v>
      </c>
      <c r="E64" s="21" t="s">
        <v>109</v>
      </c>
      <c r="F64" s="21" t="s">
        <v>63</v>
      </c>
      <c r="G64" s="21" t="s">
        <v>64</v>
      </c>
      <c r="J64" s="21" t="s">
        <v>24</v>
      </c>
      <c r="K64" s="21" t="s">
        <v>62</v>
      </c>
      <c r="L64" s="21" t="s">
        <v>109</v>
      </c>
      <c r="M64" s="21" t="s">
        <v>63</v>
      </c>
      <c r="N64" s="21" t="s">
        <v>64</v>
      </c>
    </row>
    <row r="65" spans="1:14" x14ac:dyDescent="0.35">
      <c r="A65" s="188">
        <v>0</v>
      </c>
      <c r="B65" s="188">
        <v>15000</v>
      </c>
      <c r="C65" s="61">
        <f>$B$50</f>
        <v>3791.1742739627184</v>
      </c>
      <c r="D65" s="62">
        <f>$B$51</f>
        <v>0.26325251341756095</v>
      </c>
      <c r="E65" s="62">
        <f>$B$52</f>
        <v>0.2210037137994536</v>
      </c>
      <c r="F65" s="63">
        <f>$B$53</f>
        <v>2.7085346215780999</v>
      </c>
      <c r="G65" s="63">
        <f>$B$54</f>
        <v>3.3716084628506442</v>
      </c>
      <c r="I65" s="188">
        <v>0.6</v>
      </c>
      <c r="J65" s="61">
        <f>$B$50</f>
        <v>3791.1742739627184</v>
      </c>
      <c r="K65" s="62">
        <f>$B$51</f>
        <v>0.26325251341756095</v>
      </c>
      <c r="L65" s="62">
        <f>$B$52</f>
        <v>0.2210037137994536</v>
      </c>
      <c r="M65" s="63">
        <f>$B$53</f>
        <v>2.7085346215780999</v>
      </c>
      <c r="N65" s="63">
        <f>$B$54</f>
        <v>3.3716084628506442</v>
      </c>
    </row>
    <row r="66" spans="1:14" x14ac:dyDescent="0.35">
      <c r="A66" s="64">
        <v>-0.5</v>
      </c>
      <c r="B66" s="188">
        <f t="shared" ref="B66:B86" si="12">$B$65*(1+$A66)</f>
        <v>7500</v>
      </c>
      <c r="C66" s="61">
        <f t="dataTable" ref="C66:G86" dt2D="0" dtr="0" r1="D8" ca="1"/>
        <v>-7776.7089168492093</v>
      </c>
      <c r="D66" s="62">
        <v>-9.5961471717051494E-2</v>
      </c>
      <c r="E66" s="62">
        <v>-6.0988610131410326E-2</v>
      </c>
      <c r="F66" s="63" t="e">
        <v>#REF!</v>
      </c>
      <c r="G66" s="63" t="e">
        <v>#REF!</v>
      </c>
      <c r="I66" s="188">
        <f>$I$65*(1+$A66)</f>
        <v>0.3</v>
      </c>
      <c r="J66" s="61">
        <f t="dataTable" ref="J66:N86" dt2D="0" dtr="0" r1="D10" ca="1"/>
        <v>19208.057432613525</v>
      </c>
      <c r="K66" s="62">
        <v>0.69404266650692614</v>
      </c>
      <c r="L66" s="62">
        <v>0.42717325764149372</v>
      </c>
      <c r="M66" s="63">
        <v>1.3308823529411764</v>
      </c>
      <c r="N66" s="63">
        <v>1.6024816176470587</v>
      </c>
    </row>
    <row r="67" spans="1:14" x14ac:dyDescent="0.35">
      <c r="A67" s="64">
        <f>A66+5%</f>
        <v>-0.45</v>
      </c>
      <c r="B67" s="188">
        <f t="shared" si="12"/>
        <v>8250</v>
      </c>
      <c r="C67" s="61">
        <v>-6063.7218992213402</v>
      </c>
      <c r="D67" s="62">
        <v>-3.9345968113989382E-2</v>
      </c>
      <c r="E67" s="62">
        <v>-2.1389960318555223E-3</v>
      </c>
      <c r="F67" s="63" t="e">
        <v>#REF!</v>
      </c>
      <c r="G67" s="63" t="e">
        <v>#REF!</v>
      </c>
      <c r="I67" s="188">
        <f t="shared" ref="I67:I86" si="13">$I$65*(1+$A67)</f>
        <v>0.33</v>
      </c>
      <c r="J67" s="61">
        <v>17666.369116748447</v>
      </c>
      <c r="K67" s="62">
        <v>0.65237772606290267</v>
      </c>
      <c r="L67" s="62">
        <v>0.41031264184349903</v>
      </c>
      <c r="M67" s="63">
        <v>1.4003868471953578</v>
      </c>
      <c r="N67" s="63">
        <v>1.6940038684719534</v>
      </c>
    </row>
    <row r="68" spans="1:14" x14ac:dyDescent="0.35">
      <c r="A68" s="64">
        <f>A67+5%</f>
        <v>-0.4</v>
      </c>
      <c r="B68" s="188">
        <f t="shared" si="12"/>
        <v>9000</v>
      </c>
      <c r="C68" s="61">
        <v>-4495.3141248065849</v>
      </c>
      <c r="D68" s="62">
        <v>1.0940955522472651E-2</v>
      </c>
      <c r="E68" s="62">
        <v>4.3879270746515431E-2</v>
      </c>
      <c r="F68" s="63">
        <v>3.9396984924623117</v>
      </c>
      <c r="G68" s="63" t="e">
        <v>#REF!</v>
      </c>
      <c r="I68" s="188">
        <f t="shared" si="13"/>
        <v>0.36</v>
      </c>
      <c r="J68" s="61">
        <v>16124.680800883365</v>
      </c>
      <c r="K68" s="62">
        <v>0.61047720439896547</v>
      </c>
      <c r="L68" s="62">
        <v>0.39282465205787398</v>
      </c>
      <c r="M68" s="63">
        <v>1.4775510204081632</v>
      </c>
      <c r="N68" s="63">
        <v>1.795612244897959</v>
      </c>
    </row>
    <row r="69" spans="1:14" x14ac:dyDescent="0.35">
      <c r="A69" s="64">
        <f t="shared" ref="A69:A86" si="14">A68+5%</f>
        <v>-0.35000000000000003</v>
      </c>
      <c r="B69" s="188">
        <f t="shared" si="12"/>
        <v>9749.9999999999982</v>
      </c>
      <c r="C69" s="61">
        <v>-3419.1515896526962</v>
      </c>
      <c r="D69" s="62">
        <v>4.3938522483932374E-2</v>
      </c>
      <c r="E69" s="62">
        <v>7.2249752164182945E-2</v>
      </c>
      <c r="F69" s="63">
        <v>3.760956175298805</v>
      </c>
      <c r="G69" s="63" t="e">
        <v>#REF!</v>
      </c>
      <c r="I69" s="188">
        <f t="shared" si="13"/>
        <v>0.38999999999999996</v>
      </c>
      <c r="J69" s="61">
        <v>14582.992485018283</v>
      </c>
      <c r="K69" s="62">
        <v>0.56831792843166351</v>
      </c>
      <c r="L69" s="62">
        <v>0.37465195867922763</v>
      </c>
      <c r="M69" s="63">
        <v>1.5637149028077753</v>
      </c>
      <c r="N69" s="63">
        <v>1.9090712742980558</v>
      </c>
    </row>
    <row r="70" spans="1:14" x14ac:dyDescent="0.35">
      <c r="A70" s="64">
        <f t="shared" si="14"/>
        <v>-0.30000000000000004</v>
      </c>
      <c r="B70" s="188">
        <f t="shared" si="12"/>
        <v>10500</v>
      </c>
      <c r="C70" s="61">
        <v>-2375.578989497606</v>
      </c>
      <c r="D70" s="62">
        <v>7.6579431798402542E-2</v>
      </c>
      <c r="E70" s="62">
        <v>9.7763190295126146E-2</v>
      </c>
      <c r="F70" s="63">
        <v>3.599618684461392</v>
      </c>
      <c r="G70" s="63" t="e">
        <v>#REF!</v>
      </c>
      <c r="I70" s="188">
        <f t="shared" si="13"/>
        <v>0.42</v>
      </c>
      <c r="J70" s="61">
        <v>13041.304169153203</v>
      </c>
      <c r="K70" s="62">
        <v>0.525873790925385</v>
      </c>
      <c r="L70" s="62">
        <v>0.35572854340890991</v>
      </c>
      <c r="M70" s="63">
        <v>1.6605504587155964</v>
      </c>
      <c r="N70" s="63">
        <v>2.0446942007797269</v>
      </c>
    </row>
    <row r="71" spans="1:14" x14ac:dyDescent="0.35">
      <c r="A71" s="64">
        <f t="shared" si="14"/>
        <v>-0.25000000000000006</v>
      </c>
      <c r="B71" s="188">
        <f t="shared" si="12"/>
        <v>11250</v>
      </c>
      <c r="C71" s="61">
        <v>-1347.7867789208849</v>
      </c>
      <c r="D71" s="62">
        <v>0.10861235719537943</v>
      </c>
      <c r="E71" s="62">
        <v>0.12126291137463552</v>
      </c>
      <c r="F71" s="63">
        <v>3.4515539305301646</v>
      </c>
      <c r="G71" s="63" t="e">
        <v>#REF!</v>
      </c>
      <c r="I71" s="188">
        <f t="shared" si="13"/>
        <v>0.44999999999999996</v>
      </c>
      <c r="J71" s="61">
        <v>11499.615853288124</v>
      </c>
      <c r="K71" s="62">
        <v>0.48311527689215805</v>
      </c>
      <c r="L71" s="62">
        <v>0.33597779816959039</v>
      </c>
      <c r="M71" s="63">
        <v>1.7701711491442542</v>
      </c>
      <c r="N71" s="63">
        <v>2.2219613980177355</v>
      </c>
    </row>
    <row r="72" spans="1:14" x14ac:dyDescent="0.35">
      <c r="A72" s="64">
        <f t="shared" si="14"/>
        <v>-0.20000000000000007</v>
      </c>
      <c r="B72" s="188">
        <f t="shared" si="12"/>
        <v>11999.999999999998</v>
      </c>
      <c r="C72" s="61">
        <v>-319.99456834416651</v>
      </c>
      <c r="D72" s="62">
        <v>0.14023343228820973</v>
      </c>
      <c r="E72" s="62">
        <v>0.14337159536389699</v>
      </c>
      <c r="F72" s="63">
        <v>3.3151887620719931</v>
      </c>
      <c r="G72" s="63" t="e">
        <v>#REF!</v>
      </c>
      <c r="I72" s="188">
        <f t="shared" si="13"/>
        <v>0.47999999999999993</v>
      </c>
      <c r="J72" s="61">
        <v>9957.9275374230456</v>
      </c>
      <c r="K72" s="62">
        <v>0.44000889419261613</v>
      </c>
      <c r="L72" s="62">
        <v>0.31531006427102093</v>
      </c>
      <c r="M72" s="63">
        <v>1.8952879581151829</v>
      </c>
      <c r="N72" s="63">
        <v>2.4260872615039273</v>
      </c>
    </row>
    <row r="73" spans="1:14" x14ac:dyDescent="0.35">
      <c r="A73" s="64">
        <f t="shared" si="14"/>
        <v>-0.15000000000000008</v>
      </c>
      <c r="B73" s="188">
        <f t="shared" si="12"/>
        <v>12749.999999999998</v>
      </c>
      <c r="C73" s="61">
        <v>707.79764223255734</v>
      </c>
      <c r="D73" s="62">
        <v>0.17147808681448407</v>
      </c>
      <c r="E73" s="62">
        <v>0.16426741537799661</v>
      </c>
      <c r="F73" s="63">
        <v>3.189189189189189</v>
      </c>
      <c r="G73" s="63">
        <v>3.8693050570101346</v>
      </c>
      <c r="I73" s="188">
        <f t="shared" si="13"/>
        <v>0.5099999999999999</v>
      </c>
      <c r="J73" s="61">
        <v>8416.2392215579639</v>
      </c>
      <c r="K73" s="62">
        <v>0.39651648459146438</v>
      </c>
      <c r="L73" s="62">
        <v>0.29361939903931966</v>
      </c>
      <c r="M73" s="63">
        <v>2.0425015179113535</v>
      </c>
      <c r="N73" s="63">
        <v>2.6636763812993309</v>
      </c>
    </row>
    <row r="74" spans="1:14" x14ac:dyDescent="0.35">
      <c r="A74" s="64">
        <f t="shared" si="14"/>
        <v>-0.10000000000000007</v>
      </c>
      <c r="B74" s="188">
        <f t="shared" si="12"/>
        <v>13499.999999999998</v>
      </c>
      <c r="C74" s="61">
        <v>1735.5898528092775</v>
      </c>
      <c r="D74" s="62">
        <v>0.2023778599893824</v>
      </c>
      <c r="E74" s="62">
        <v>0.18409511173554538</v>
      </c>
      <c r="F74" s="63">
        <v>3.0724165988608627</v>
      </c>
      <c r="G74" s="63">
        <v>3.6912573738812036</v>
      </c>
      <c r="I74" s="188">
        <f t="shared" si="13"/>
        <v>0.53999999999999992</v>
      </c>
      <c r="J74" s="61">
        <v>6874.5509056928822</v>
      </c>
      <c r="K74" s="62">
        <v>0.35259438460974324</v>
      </c>
      <c r="L74" s="62">
        <v>0.2707792553881081</v>
      </c>
      <c r="M74" s="63">
        <v>2.2248677248677247</v>
      </c>
      <c r="N74" s="63">
        <v>2.9436921296296283</v>
      </c>
    </row>
    <row r="75" spans="1:14" x14ac:dyDescent="0.35">
      <c r="A75" s="64">
        <f t="shared" si="14"/>
        <v>-5.0000000000000072E-2</v>
      </c>
      <c r="B75" s="188">
        <f t="shared" si="12"/>
        <v>14250</v>
      </c>
      <c r="C75" s="61">
        <v>2763.3820633859973</v>
      </c>
      <c r="D75" s="62">
        <v>0.23296092188887152</v>
      </c>
      <c r="E75" s="62">
        <v>0.20297400356205997</v>
      </c>
      <c r="F75" s="63">
        <v>2.9201388888888888</v>
      </c>
      <c r="G75" s="63">
        <v>3.5257876275510203</v>
      </c>
      <c r="I75" s="188">
        <f t="shared" si="13"/>
        <v>0.56999999999999995</v>
      </c>
      <c r="J75" s="61">
        <v>5332.8625898277996</v>
      </c>
      <c r="K75" s="62">
        <v>0.30819239604459758</v>
      </c>
      <c r="L75" s="62">
        <v>0.24663659793790438</v>
      </c>
      <c r="M75" s="63">
        <v>2.4429920116194626</v>
      </c>
      <c r="N75" s="63">
        <v>3.159104760187522</v>
      </c>
    </row>
    <row r="76" spans="1:14" x14ac:dyDescent="0.35">
      <c r="A76" s="64">
        <f t="shared" si="14"/>
        <v>-6.9388939039072284E-17</v>
      </c>
      <c r="B76" s="188">
        <f t="shared" si="12"/>
        <v>14999.999999999998</v>
      </c>
      <c r="C76" s="61">
        <v>3791.1742739627184</v>
      </c>
      <c r="D76" s="62">
        <v>0.26325251341756095</v>
      </c>
      <c r="E76" s="62">
        <v>0.2210037137994536</v>
      </c>
      <c r="F76" s="63">
        <v>2.7085346215780999</v>
      </c>
      <c r="G76" s="63">
        <v>3.3716084628506442</v>
      </c>
      <c r="I76" s="188">
        <f t="shared" si="13"/>
        <v>0.59999999999999987</v>
      </c>
      <c r="J76" s="61">
        <v>3791.1742739627243</v>
      </c>
      <c r="K76" s="62">
        <v>0.26325251341756095</v>
      </c>
      <c r="L76" s="62">
        <v>0.22100371379945383</v>
      </c>
      <c r="M76" s="63">
        <v>2.708534621578099</v>
      </c>
      <c r="N76" s="63">
        <v>3.3716084628506433</v>
      </c>
    </row>
    <row r="77" spans="1:14" x14ac:dyDescent="0.35">
      <c r="A77" s="64">
        <f t="shared" si="14"/>
        <v>4.9999999999999933E-2</v>
      </c>
      <c r="B77" s="188">
        <f t="shared" si="12"/>
        <v>15749.999999999998</v>
      </c>
      <c r="C77" s="61">
        <v>4818.9664845394391</v>
      </c>
      <c r="D77" s="62">
        <v>0.29327531904792936</v>
      </c>
      <c r="E77" s="62">
        <v>0.238268353101172</v>
      </c>
      <c r="F77" s="63">
        <v>2.5255255255255253</v>
      </c>
      <c r="G77" s="63">
        <v>3.2276024101906153</v>
      </c>
      <c r="I77" s="188">
        <f t="shared" si="13"/>
        <v>0.62999999999999989</v>
      </c>
      <c r="J77" s="61">
        <v>2249.4859580976436</v>
      </c>
      <c r="K77" s="62">
        <v>0.21770733830549172</v>
      </c>
      <c r="L77" s="62">
        <v>0.19364652532907289</v>
      </c>
      <c r="M77" s="63">
        <v>3.0171793847383133</v>
      </c>
      <c r="N77" s="63">
        <v>3.607035057930482</v>
      </c>
    </row>
    <row r="78" spans="1:14" x14ac:dyDescent="0.35">
      <c r="A78" s="64">
        <f t="shared" si="14"/>
        <v>9.9999999999999936E-2</v>
      </c>
      <c r="B78" s="188">
        <f t="shared" si="12"/>
        <v>16499.999999999996</v>
      </c>
      <c r="C78" s="61">
        <v>5846.7586951161538</v>
      </c>
      <c r="D78" s="62">
        <v>0.32304978391392436</v>
      </c>
      <c r="E78" s="62">
        <v>0.25483963801049136</v>
      </c>
      <c r="F78" s="63">
        <v>2.3656821378340371</v>
      </c>
      <c r="G78" s="63">
        <v>3.0927947569198015</v>
      </c>
      <c r="I78" s="188">
        <f t="shared" si="13"/>
        <v>0.65999999999999992</v>
      </c>
      <c r="J78" s="61">
        <v>707.79764223256279</v>
      </c>
      <c r="K78" s="62">
        <v>0.17147808681448429</v>
      </c>
      <c r="L78" s="62">
        <v>0.16426741537799683</v>
      </c>
      <c r="M78" s="63">
        <v>3.1891891891891886</v>
      </c>
      <c r="N78" s="63">
        <v>3.8693050570101333</v>
      </c>
    </row>
    <row r="79" spans="1:14" x14ac:dyDescent="0.35">
      <c r="A79" s="64">
        <f>A78+5%</f>
        <v>0.14999999999999994</v>
      </c>
      <c r="B79" s="188">
        <f t="shared" si="12"/>
        <v>17250</v>
      </c>
      <c r="C79" s="61">
        <v>6874.5509056928813</v>
      </c>
      <c r="D79" s="62">
        <v>0.35259438460974324</v>
      </c>
      <c r="E79" s="62">
        <v>0.2707792553881081</v>
      </c>
      <c r="F79" s="63">
        <v>2.2248677248677247</v>
      </c>
      <c r="G79" s="63">
        <v>2.9436921296296288</v>
      </c>
      <c r="I79" s="188">
        <f t="shared" si="13"/>
        <v>0.69</v>
      </c>
      <c r="J79" s="61">
        <v>-833.89067363252525</v>
      </c>
      <c r="K79" s="62">
        <v>0.12447206374853881</v>
      </c>
      <c r="L79" s="62">
        <v>0.13247909964636762</v>
      </c>
      <c r="M79" s="63">
        <v>3.3819973130317957</v>
      </c>
      <c r="N79" s="63" t="e">
        <v>#REF!</v>
      </c>
    </row>
    <row r="80" spans="1:14" x14ac:dyDescent="0.35">
      <c r="A80" s="64">
        <f t="shared" si="14"/>
        <v>0.19999999999999996</v>
      </c>
      <c r="B80" s="188">
        <f t="shared" si="12"/>
        <v>18000</v>
      </c>
      <c r="C80" s="61">
        <v>7902.3431162696006</v>
      </c>
      <c r="D80" s="62">
        <v>0.38192586137932305</v>
      </c>
      <c r="E80" s="62">
        <v>0.28614068302019713</v>
      </c>
      <c r="F80" s="63">
        <v>2.0998751560549311</v>
      </c>
      <c r="G80" s="63">
        <v>2.7517712234706613</v>
      </c>
      <c r="I80" s="188">
        <f t="shared" si="13"/>
        <v>0.72</v>
      </c>
      <c r="J80" s="61">
        <v>-2375.578989497606</v>
      </c>
      <c r="K80" s="62">
        <v>7.6579431798402542E-2</v>
      </c>
      <c r="L80" s="62">
        <v>9.7763190295126146E-2</v>
      </c>
      <c r="M80" s="63">
        <v>3.599618684461392</v>
      </c>
      <c r="N80" s="63" t="e">
        <v>#REF!</v>
      </c>
    </row>
    <row r="81" spans="1:14" x14ac:dyDescent="0.35">
      <c r="A81" s="64">
        <f t="shared" si="14"/>
        <v>0.24999999999999994</v>
      </c>
      <c r="B81" s="188">
        <f t="shared" si="12"/>
        <v>18750</v>
      </c>
      <c r="C81" s="61">
        <v>8930.1353268463208</v>
      </c>
      <c r="D81" s="62">
        <v>0.41105941795525247</v>
      </c>
      <c r="E81" s="62">
        <v>0.30097061085710131</v>
      </c>
      <c r="F81" s="63">
        <v>1.9890109890109891</v>
      </c>
      <c r="G81" s="63">
        <v>2.5802674349881793</v>
      </c>
      <c r="I81" s="188">
        <f t="shared" si="13"/>
        <v>0.75</v>
      </c>
      <c r="J81" s="61">
        <v>-3948.9996104930988</v>
      </c>
      <c r="K81" s="62">
        <v>2.746636977798822E-2</v>
      </c>
      <c r="L81" s="62">
        <v>5.85665193705589E-2</v>
      </c>
      <c r="M81" s="63">
        <v>3.8481012658227849</v>
      </c>
      <c r="N81" s="63" t="e">
        <v>#REF!</v>
      </c>
    </row>
    <row r="82" spans="1:14" x14ac:dyDescent="0.35">
      <c r="A82" s="64">
        <f t="shared" si="14"/>
        <v>0.29999999999999993</v>
      </c>
      <c r="B82" s="188">
        <f t="shared" si="12"/>
        <v>19499.999999999996</v>
      </c>
      <c r="C82" s="61">
        <v>9957.9275374230347</v>
      </c>
      <c r="D82" s="62">
        <v>0.44000889419261613</v>
      </c>
      <c r="E82" s="62">
        <v>0.31531006427102071</v>
      </c>
      <c r="F82" s="63">
        <v>1.8952879581151838</v>
      </c>
      <c r="G82" s="63">
        <v>2.4260872615039286</v>
      </c>
      <c r="I82" s="188">
        <f t="shared" si="13"/>
        <v>0.77999999999999992</v>
      </c>
      <c r="J82" s="61">
        <v>-6063.7218992213311</v>
      </c>
      <c r="K82" s="62">
        <v>-3.9345968113988938E-2</v>
      </c>
      <c r="L82" s="62">
        <v>-2.1389960318551893E-3</v>
      </c>
      <c r="M82" s="63" t="e">
        <v>#REF!</v>
      </c>
      <c r="N82" s="63" t="e">
        <v>#REF!</v>
      </c>
    </row>
    <row r="83" spans="1:14" x14ac:dyDescent="0.35">
      <c r="A83" s="64">
        <f>A82+5%</f>
        <v>0.34999999999999992</v>
      </c>
      <c r="B83" s="188">
        <f t="shared" si="12"/>
        <v>20249.999999999996</v>
      </c>
      <c r="C83" s="61">
        <v>10985.719747999758</v>
      </c>
      <c r="D83" s="62">
        <v>0.46878691573543985</v>
      </c>
      <c r="E83" s="62">
        <v>0.32919530177735257</v>
      </c>
      <c r="F83" s="63">
        <v>1.8100000000000005</v>
      </c>
      <c r="G83" s="63">
        <v>2.2867321047008549</v>
      </c>
      <c r="I83" s="188">
        <f t="shared" si="13"/>
        <v>0.80999999999999994</v>
      </c>
      <c r="J83" s="61">
        <v>-8633.202425663143</v>
      </c>
      <c r="K83" s="62">
        <v>-0.12493998080037649</v>
      </c>
      <c r="L83" s="62">
        <v>-9.5112403799170298E-2</v>
      </c>
      <c r="M83" s="63" t="e">
        <v>#REF!</v>
      </c>
      <c r="N83" s="63" t="e">
        <v>#REF!</v>
      </c>
    </row>
    <row r="84" spans="1:14" x14ac:dyDescent="0.35">
      <c r="A84" s="64">
        <f t="shared" si="14"/>
        <v>0.39999999999999991</v>
      </c>
      <c r="B84" s="188">
        <f t="shared" si="12"/>
        <v>21000</v>
      </c>
      <c r="C84" s="61">
        <v>12013.511958576484</v>
      </c>
      <c r="D84" s="62">
        <v>0.49740502421941835</v>
      </c>
      <c r="E84" s="62">
        <v>0.34265853982399297</v>
      </c>
      <c r="F84" s="63">
        <v>1.7320574162679425</v>
      </c>
      <c r="G84" s="63">
        <v>2.1601618246687049</v>
      </c>
      <c r="I84" s="188">
        <f t="shared" si="13"/>
        <v>0.84</v>
      </c>
      <c r="J84" s="61">
        <v>-11202.682952104944</v>
      </c>
      <c r="K84" s="62">
        <v>-0.21507357518332748</v>
      </c>
      <c r="L84" s="62">
        <v>-0.20789257794997462</v>
      </c>
      <c r="M84" s="63" t="e">
        <v>#REF!</v>
      </c>
      <c r="N84" s="63" t="e">
        <v>#REF!</v>
      </c>
    </row>
    <row r="85" spans="1:14" x14ac:dyDescent="0.35">
      <c r="A85" s="64">
        <f t="shared" si="14"/>
        <v>0.4499999999999999</v>
      </c>
      <c r="B85" s="188">
        <f t="shared" si="12"/>
        <v>21750</v>
      </c>
      <c r="C85" s="61">
        <v>13041.304169153203</v>
      </c>
      <c r="D85" s="62">
        <v>0.525873790925385</v>
      </c>
      <c r="E85" s="62">
        <v>0.35572854340890991</v>
      </c>
      <c r="F85" s="63">
        <v>1.6605504587155964</v>
      </c>
      <c r="G85" s="63">
        <v>2.0446942007797269</v>
      </c>
      <c r="I85" s="188">
        <f t="shared" si="13"/>
        <v>0.87</v>
      </c>
      <c r="J85" s="61">
        <v>-13772.163478546745</v>
      </c>
      <c r="K85" s="62">
        <v>-0.31116559487574402</v>
      </c>
      <c r="L85" s="62">
        <v>-0.26605396334324061</v>
      </c>
      <c r="M85" s="63" t="e">
        <v>#REF!</v>
      </c>
      <c r="N85" s="63" t="e">
        <v>#REF!</v>
      </c>
    </row>
    <row r="86" spans="1:14" x14ac:dyDescent="0.35">
      <c r="A86" s="64">
        <f t="shared" si="14"/>
        <v>0.49999999999999989</v>
      </c>
      <c r="B86" s="188">
        <f t="shared" si="12"/>
        <v>22500</v>
      </c>
      <c r="C86" s="61">
        <v>14069.096379729925</v>
      </c>
      <c r="D86" s="62">
        <v>0.55420291627416751</v>
      </c>
      <c r="E86" s="62">
        <v>0.3684311114690153</v>
      </c>
      <c r="F86" s="63">
        <v>1.5947136563876652</v>
      </c>
      <c r="G86" s="63">
        <v>1.9498898678414094</v>
      </c>
      <c r="I86" s="188">
        <f t="shared" si="13"/>
        <v>0.89999999999999991</v>
      </c>
      <c r="J86" s="61">
        <v>-16341.64400498854</v>
      </c>
      <c r="K86" s="62">
        <v>-0.41518777812268537</v>
      </c>
      <c r="L86" s="62">
        <v>-0.3233896001150578</v>
      </c>
      <c r="M86" s="63" t="e">
        <v>#REF!</v>
      </c>
      <c r="N86" s="63" t="e">
        <v>#REF!</v>
      </c>
    </row>
    <row r="105" spans="1:11" x14ac:dyDescent="0.35">
      <c r="B105" t="s">
        <v>268</v>
      </c>
    </row>
    <row r="106" spans="1:11" x14ac:dyDescent="0.35">
      <c r="A106" s="188"/>
      <c r="B106" s="61"/>
      <c r="C106" s="61"/>
      <c r="D106" s="61"/>
      <c r="E106" s="61"/>
    </row>
    <row r="107" spans="1:11" ht="15" thickBot="1" x14ac:dyDescent="0.4">
      <c r="B107" s="64" t="s">
        <v>271</v>
      </c>
      <c r="D107" s="201" t="s">
        <v>269</v>
      </c>
      <c r="E107" s="201"/>
      <c r="F107" s="201"/>
      <c r="G107" s="201"/>
      <c r="H107" s="201"/>
      <c r="I107" s="201"/>
      <c r="J107" s="201"/>
      <c r="K107" s="201"/>
    </row>
    <row r="108" spans="1:11" x14ac:dyDescent="0.35">
      <c r="C108" s="170">
        <f>$B$50</f>
        <v>3791.1742739627184</v>
      </c>
      <c r="D108" s="171">
        <v>0.5</v>
      </c>
      <c r="E108" s="171">
        <f>D108+0.5</f>
        <v>1</v>
      </c>
      <c r="F108" s="171">
        <f t="shared" ref="F108:H108" si="15">E108+0.5</f>
        <v>1.5</v>
      </c>
      <c r="G108" s="175">
        <f t="shared" si="15"/>
        <v>2</v>
      </c>
      <c r="H108" s="171">
        <f t="shared" si="15"/>
        <v>2.5</v>
      </c>
      <c r="I108" s="171">
        <f>H108+0.5</f>
        <v>3</v>
      </c>
      <c r="J108" s="171">
        <f t="shared" ref="J108:K108" si="16">I108+0.5</f>
        <v>3.5</v>
      </c>
      <c r="K108" s="171">
        <f t="shared" si="16"/>
        <v>4</v>
      </c>
    </row>
    <row r="109" spans="1:11" x14ac:dyDescent="0.35">
      <c r="B109" s="202" t="s">
        <v>270</v>
      </c>
      <c r="C109" s="172">
        <v>10000</v>
      </c>
      <c r="D109" s="173">
        <f t="dataTable" ref="D109:K119" dt2D="1" dtr="1" r1="D9" r2="D8" ca="1"/>
        <v>-19196.622367701661</v>
      </c>
      <c r="E109" s="173">
        <v>-13486.665642275435</v>
      </c>
      <c r="F109" s="173">
        <v>-7776.7089168492093</v>
      </c>
      <c r="G109" s="176">
        <v>-3068.6639913379358</v>
      </c>
      <c r="H109" s="173">
        <v>365.20023870698242</v>
      </c>
      <c r="I109" s="173">
        <v>3791.1742739627184</v>
      </c>
      <c r="J109" s="173">
        <v>7217.1483092184535</v>
      </c>
      <c r="K109" s="173">
        <v>10643.122344474188</v>
      </c>
    </row>
    <row r="110" spans="1:11" x14ac:dyDescent="0.35">
      <c r="B110" s="202"/>
      <c r="C110" s="172">
        <f>C109+1000</f>
        <v>11000</v>
      </c>
      <c r="D110" s="173">
        <v>-18625.626695159037</v>
      </c>
      <c r="E110" s="173">
        <v>-12344.674297190189</v>
      </c>
      <c r="F110" s="173">
        <v>-6063.7218992213402</v>
      </c>
      <c r="G110" s="176">
        <v>-1690.3841824464571</v>
      </c>
      <c r="H110" s="173">
        <v>2078.1872563348511</v>
      </c>
      <c r="I110" s="173">
        <v>5846.7586951161584</v>
      </c>
      <c r="J110" s="173">
        <v>9615.330133897467</v>
      </c>
      <c r="K110" s="173">
        <v>13383.901572678777</v>
      </c>
    </row>
    <row r="111" spans="1:11" x14ac:dyDescent="0.35">
      <c r="B111" s="202"/>
      <c r="C111" s="172">
        <f t="shared" ref="C111:C119" si="17">C110+1000</f>
        <v>12000</v>
      </c>
      <c r="D111" s="173">
        <v>-18054.631022616417</v>
      </c>
      <c r="E111" s="173">
        <v>-11202.682952104944</v>
      </c>
      <c r="F111" s="173">
        <v>-4495.3141248065849</v>
      </c>
      <c r="G111" s="176">
        <v>-319.99456834416378</v>
      </c>
      <c r="H111" s="173">
        <v>3791.1742739627184</v>
      </c>
      <c r="I111" s="173">
        <v>7902.3431162696006</v>
      </c>
      <c r="J111" s="173">
        <v>12013.511958576484</v>
      </c>
      <c r="K111" s="173">
        <v>16124.680800883365</v>
      </c>
    </row>
    <row r="112" spans="1:11" x14ac:dyDescent="0.35">
      <c r="B112" s="202"/>
      <c r="C112" s="172">
        <f t="shared" si="17"/>
        <v>13000</v>
      </c>
      <c r="D112" s="173">
        <v>-17483.635350073793</v>
      </c>
      <c r="E112" s="173">
        <v>-10060.6916070197</v>
      </c>
      <c r="F112" s="173">
        <v>-3419.1515896526917</v>
      </c>
      <c r="G112" s="176">
        <v>1050.3950457581304</v>
      </c>
      <c r="H112" s="173">
        <v>5504.1612915905862</v>
      </c>
      <c r="I112" s="173">
        <v>9957.9275374230419</v>
      </c>
      <c r="J112" s="173">
        <v>14411.693783255498</v>
      </c>
      <c r="K112" s="173">
        <v>18865.460029087953</v>
      </c>
    </row>
    <row r="113" spans="1:11" ht="15" thickBot="1" x14ac:dyDescent="0.4">
      <c r="B113" s="202"/>
      <c r="C113" s="172">
        <f t="shared" si="17"/>
        <v>14000</v>
      </c>
      <c r="D113" s="173">
        <v>-16912.63967753117</v>
      </c>
      <c r="E113" s="173">
        <v>-8918.7002619344548</v>
      </c>
      <c r="F113" s="173">
        <v>-2375.578989497606</v>
      </c>
      <c r="G113" s="176">
        <v>2420.7846598604247</v>
      </c>
      <c r="H113" s="173">
        <v>7217.1483092184535</v>
      </c>
      <c r="I113" s="173">
        <v>12013.511958576484</v>
      </c>
      <c r="J113" s="173">
        <v>16809.875607934511</v>
      </c>
      <c r="K113" s="173">
        <v>21606.239257292542</v>
      </c>
    </row>
    <row r="114" spans="1:11" ht="15" thickBot="1" x14ac:dyDescent="0.4">
      <c r="B114" s="202"/>
      <c r="C114" s="178">
        <f t="shared" si="17"/>
        <v>15000</v>
      </c>
      <c r="D114" s="179">
        <v>-16341.644004988546</v>
      </c>
      <c r="E114" s="179">
        <v>-7776.7089168492093</v>
      </c>
      <c r="F114" s="179">
        <v>-1347.7867789208849</v>
      </c>
      <c r="G114" s="174">
        <v>3791.1742739627184</v>
      </c>
      <c r="H114" s="179">
        <v>8930.1353268463208</v>
      </c>
      <c r="I114" s="179">
        <v>14069.096379729925</v>
      </c>
      <c r="J114" s="179">
        <v>19208.057432613525</v>
      </c>
      <c r="K114" s="180">
        <v>24347.01848549713</v>
      </c>
    </row>
    <row r="115" spans="1:11" x14ac:dyDescent="0.35">
      <c r="B115" s="202"/>
      <c r="C115" s="172">
        <f t="shared" si="17"/>
        <v>16000</v>
      </c>
      <c r="D115" s="173">
        <v>-15770.648332445924</v>
      </c>
      <c r="E115" s="173">
        <v>-6634.7175717639639</v>
      </c>
      <c r="F115" s="173">
        <v>-319.99456834416378</v>
      </c>
      <c r="G115" s="176">
        <v>5161.5638880650122</v>
      </c>
      <c r="H115" s="173">
        <v>10643.122344474188</v>
      </c>
      <c r="I115" s="173">
        <v>16124.680800883365</v>
      </c>
      <c r="J115" s="173">
        <v>21606.239257292542</v>
      </c>
      <c r="K115" s="173">
        <v>27087.797713701722</v>
      </c>
    </row>
    <row r="116" spans="1:11" x14ac:dyDescent="0.35">
      <c r="B116" s="202"/>
      <c r="C116" s="172">
        <f t="shared" si="17"/>
        <v>17000</v>
      </c>
      <c r="D116" s="173">
        <v>-15199.652659903304</v>
      </c>
      <c r="E116" s="173">
        <v>-5492.7262266787193</v>
      </c>
      <c r="F116" s="173">
        <v>707.79764223255734</v>
      </c>
      <c r="G116" s="176">
        <v>6531.9535021673064</v>
      </c>
      <c r="H116" s="173">
        <v>12356.109362102055</v>
      </c>
      <c r="I116" s="173">
        <v>18180.265222036807</v>
      </c>
      <c r="J116" s="173">
        <v>24004.421081971559</v>
      </c>
      <c r="K116" s="173">
        <v>29828.576941906304</v>
      </c>
    </row>
    <row r="117" spans="1:11" x14ac:dyDescent="0.35">
      <c r="B117" s="202"/>
      <c r="C117" s="172">
        <f t="shared" si="17"/>
        <v>18000</v>
      </c>
      <c r="D117" s="173">
        <v>-14628.656987360679</v>
      </c>
      <c r="E117" s="173">
        <v>-4495.3141248065849</v>
      </c>
      <c r="F117" s="173">
        <v>1735.5898528092775</v>
      </c>
      <c r="G117" s="176">
        <v>7902.3431162696006</v>
      </c>
      <c r="H117" s="173">
        <v>14069.096379729925</v>
      </c>
      <c r="I117" s="173">
        <v>20235.849643190246</v>
      </c>
      <c r="J117" s="173">
        <v>26402.602906650573</v>
      </c>
      <c r="K117" s="173">
        <v>32569.356170110896</v>
      </c>
    </row>
    <row r="118" spans="1:11" x14ac:dyDescent="0.35">
      <c r="B118" s="202"/>
      <c r="C118" s="172">
        <f t="shared" si="17"/>
        <v>19000</v>
      </c>
      <c r="D118" s="173">
        <v>-14057.661314818057</v>
      </c>
      <c r="E118" s="173">
        <v>-3769.6391879674502</v>
      </c>
      <c r="F118" s="173">
        <v>2763.3820633859973</v>
      </c>
      <c r="G118" s="176">
        <v>9272.7327303718957</v>
      </c>
      <c r="H118" s="173">
        <v>15782.08339735779</v>
      </c>
      <c r="I118" s="173">
        <v>22291.434064343688</v>
      </c>
      <c r="J118" s="173">
        <v>28800.784731329586</v>
      </c>
      <c r="K118" s="173">
        <v>35310.135398315477</v>
      </c>
    </row>
    <row r="119" spans="1:11" ht="15" thickBot="1" x14ac:dyDescent="0.4">
      <c r="B119" s="202"/>
      <c r="C119" s="172">
        <f t="shared" si="17"/>
        <v>20000</v>
      </c>
      <c r="D119" s="173">
        <v>-13486.665642275435</v>
      </c>
      <c r="E119" s="173">
        <v>-3068.6639913379358</v>
      </c>
      <c r="F119" s="173">
        <v>3791.1742739627184</v>
      </c>
      <c r="G119" s="177">
        <v>10643.122344474188</v>
      </c>
      <c r="H119" s="173">
        <v>17495.070414985661</v>
      </c>
      <c r="I119" s="173">
        <v>24347.01848549713</v>
      </c>
      <c r="J119" s="173">
        <v>31198.9665560086</v>
      </c>
      <c r="K119" s="173">
        <v>38050.914626520069</v>
      </c>
    </row>
    <row r="120" spans="1:11" x14ac:dyDescent="0.35">
      <c r="A120" s="64"/>
    </row>
    <row r="121" spans="1:11" x14ac:dyDescent="0.35">
      <c r="A121" s="64"/>
    </row>
    <row r="122" spans="1:11" ht="15" thickBot="1" x14ac:dyDescent="0.4">
      <c r="A122" s="64"/>
      <c r="B122" s="64" t="s">
        <v>271</v>
      </c>
      <c r="D122" s="201" t="s">
        <v>273</v>
      </c>
      <c r="E122" s="201"/>
      <c r="F122" s="201"/>
      <c r="G122" s="201"/>
      <c r="H122" s="201"/>
      <c r="I122" s="201"/>
      <c r="J122" s="201"/>
      <c r="K122" s="201"/>
    </row>
    <row r="123" spans="1:11" x14ac:dyDescent="0.35">
      <c r="A123" s="64"/>
      <c r="C123" s="170">
        <f>$B$50</f>
        <v>3791.1742739627184</v>
      </c>
      <c r="D123" s="171">
        <v>3000</v>
      </c>
      <c r="E123" s="171">
        <f>D123+500</f>
        <v>3500</v>
      </c>
      <c r="F123" s="171">
        <f t="shared" ref="F123:K123" si="18">E123+500</f>
        <v>4000</v>
      </c>
      <c r="G123" s="175">
        <f t="shared" si="18"/>
        <v>4500</v>
      </c>
      <c r="H123" s="171">
        <f t="shared" si="18"/>
        <v>5000</v>
      </c>
      <c r="I123" s="171">
        <f t="shared" si="18"/>
        <v>5500</v>
      </c>
      <c r="J123" s="171">
        <f t="shared" si="18"/>
        <v>6000</v>
      </c>
      <c r="K123" s="171">
        <f t="shared" si="18"/>
        <v>6500</v>
      </c>
    </row>
    <row r="124" spans="1:11" x14ac:dyDescent="0.35">
      <c r="A124" s="64"/>
      <c r="B124" s="202" t="s">
        <v>121</v>
      </c>
      <c r="C124" s="172">
        <v>0.3</v>
      </c>
      <c r="D124" s="173">
        <f t="dataTable" ref="D124:K134" dt2D="1" dtr="1" r1="D11" r2="D10" ca="1"/>
        <v>22634.031467869263</v>
      </c>
      <c r="E124" s="173">
        <v>21777.537959055328</v>
      </c>
      <c r="F124" s="173">
        <v>20921.044450241396</v>
      </c>
      <c r="G124" s="176">
        <v>20064.550941427464</v>
      </c>
      <c r="H124" s="173">
        <v>19208.057432613525</v>
      </c>
      <c r="I124" s="173">
        <v>18351.563923799593</v>
      </c>
      <c r="J124" s="173">
        <v>17495.070414985661</v>
      </c>
      <c r="K124" s="173">
        <v>16638.576906171726</v>
      </c>
    </row>
    <row r="125" spans="1:11" x14ac:dyDescent="0.35">
      <c r="A125" s="64"/>
      <c r="B125" s="202"/>
      <c r="C125" s="172">
        <f>C124+0.05</f>
        <v>0.35</v>
      </c>
      <c r="D125" s="173">
        <v>20064.550941427464</v>
      </c>
      <c r="E125" s="173">
        <v>19208.057432613525</v>
      </c>
      <c r="F125" s="173">
        <v>18351.563923799593</v>
      </c>
      <c r="G125" s="176">
        <v>17495.070414985661</v>
      </c>
      <c r="H125" s="173">
        <v>16638.576906171726</v>
      </c>
      <c r="I125" s="173">
        <v>15782.08339735779</v>
      </c>
      <c r="J125" s="173">
        <v>14925.589888543858</v>
      </c>
      <c r="K125" s="173">
        <v>14069.096379729925</v>
      </c>
    </row>
    <row r="126" spans="1:11" x14ac:dyDescent="0.35">
      <c r="A126" s="64"/>
      <c r="B126" s="202"/>
      <c r="C126" s="172">
        <f t="shared" ref="C126:C134" si="19">C125+0.05</f>
        <v>0.39999999999999997</v>
      </c>
      <c r="D126" s="173">
        <v>17495.070414985661</v>
      </c>
      <c r="E126" s="173">
        <v>16638.576906171726</v>
      </c>
      <c r="F126" s="173">
        <v>15782.08339735779</v>
      </c>
      <c r="G126" s="176">
        <v>14925.589888543858</v>
      </c>
      <c r="H126" s="173">
        <v>14069.096379729925</v>
      </c>
      <c r="I126" s="173">
        <v>13212.602870915991</v>
      </c>
      <c r="J126" s="173">
        <v>12356.109362102055</v>
      </c>
      <c r="K126" s="173">
        <v>11499.615853288124</v>
      </c>
    </row>
    <row r="127" spans="1:11" ht="15" thickBot="1" x14ac:dyDescent="0.4">
      <c r="A127" s="64"/>
      <c r="B127" s="202"/>
      <c r="C127" s="172">
        <f t="shared" si="19"/>
        <v>0.44999999999999996</v>
      </c>
      <c r="D127" s="173">
        <v>14925.589888543858</v>
      </c>
      <c r="E127" s="173">
        <v>14069.096379729925</v>
      </c>
      <c r="F127" s="173">
        <v>13212.602870915991</v>
      </c>
      <c r="G127" s="176">
        <v>12356.109362102055</v>
      </c>
      <c r="H127" s="173">
        <v>11499.615853288124</v>
      </c>
      <c r="I127" s="173">
        <v>10643.122344474188</v>
      </c>
      <c r="J127" s="173">
        <v>9786.6288356602563</v>
      </c>
      <c r="K127" s="173">
        <v>8930.1353268463208</v>
      </c>
    </row>
    <row r="128" spans="1:11" ht="15" thickBot="1" x14ac:dyDescent="0.4">
      <c r="B128" s="202"/>
      <c r="C128" s="178">
        <f t="shared" si="19"/>
        <v>0.49999999999999994</v>
      </c>
      <c r="D128" s="179">
        <v>12356.109362102057</v>
      </c>
      <c r="E128" s="179">
        <v>11499.615853288124</v>
      </c>
      <c r="F128" s="179">
        <v>10643.122344474192</v>
      </c>
      <c r="G128" s="174">
        <v>9786.6288356602563</v>
      </c>
      <c r="H128" s="179">
        <v>8930.1353268463245</v>
      </c>
      <c r="I128" s="179">
        <v>8073.6418180323899</v>
      </c>
      <c r="J128" s="179">
        <v>7217.1483092184553</v>
      </c>
      <c r="K128" s="180">
        <v>6360.6548004045217</v>
      </c>
    </row>
    <row r="129" spans="2:11" x14ac:dyDescent="0.35">
      <c r="B129" s="202"/>
      <c r="C129" s="172">
        <f t="shared" si="19"/>
        <v>0.54999999999999993</v>
      </c>
      <c r="D129" s="173">
        <v>9786.6288356602599</v>
      </c>
      <c r="E129" s="173">
        <v>8930.1353268463281</v>
      </c>
      <c r="F129" s="173">
        <v>8073.6418180323926</v>
      </c>
      <c r="G129" s="176">
        <v>7217.1483092184571</v>
      </c>
      <c r="H129" s="173">
        <v>6360.6548004045244</v>
      </c>
      <c r="I129" s="173">
        <v>5504.1612915905916</v>
      </c>
      <c r="J129" s="173">
        <v>4647.667782776658</v>
      </c>
      <c r="K129" s="173">
        <v>3791.1742739627243</v>
      </c>
    </row>
    <row r="130" spans="2:11" x14ac:dyDescent="0.35">
      <c r="B130" s="202"/>
      <c r="C130" s="172">
        <f t="shared" si="19"/>
        <v>0.6</v>
      </c>
      <c r="D130" s="173">
        <v>7217.1483092184535</v>
      </c>
      <c r="E130" s="173">
        <v>6360.6548004045198</v>
      </c>
      <c r="F130" s="173">
        <v>5504.1612915905862</v>
      </c>
      <c r="G130" s="176">
        <v>4647.6677827766516</v>
      </c>
      <c r="H130" s="173">
        <v>3791.1742739627184</v>
      </c>
      <c r="I130" s="173">
        <v>2934.6807651487852</v>
      </c>
      <c r="J130" s="173">
        <v>2078.1872563348511</v>
      </c>
      <c r="K130" s="173">
        <v>1221.693747520917</v>
      </c>
    </row>
    <row r="131" spans="2:11" x14ac:dyDescent="0.35">
      <c r="B131" s="202"/>
      <c r="C131" s="172">
        <f t="shared" si="19"/>
        <v>0.65</v>
      </c>
      <c r="D131" s="173">
        <v>4647.6677827766516</v>
      </c>
      <c r="E131" s="173">
        <v>3791.1742739627184</v>
      </c>
      <c r="F131" s="173">
        <v>2934.6807651487852</v>
      </c>
      <c r="G131" s="176">
        <v>2078.1872563348511</v>
      </c>
      <c r="H131" s="173">
        <v>1221.693747520917</v>
      </c>
      <c r="I131" s="173">
        <v>365.20023870698242</v>
      </c>
      <c r="J131" s="173">
        <v>-491.29327010694942</v>
      </c>
      <c r="K131" s="173">
        <v>-1347.7867789208849</v>
      </c>
    </row>
    <row r="132" spans="2:11" x14ac:dyDescent="0.35">
      <c r="B132" s="202"/>
      <c r="C132" s="172">
        <f t="shared" si="19"/>
        <v>0.70000000000000007</v>
      </c>
      <c r="D132" s="173">
        <v>2078.1872563348452</v>
      </c>
      <c r="E132" s="173">
        <v>1221.6937475209106</v>
      </c>
      <c r="F132" s="173">
        <v>365.20023870697605</v>
      </c>
      <c r="G132" s="176">
        <v>-491.29327010695761</v>
      </c>
      <c r="H132" s="173">
        <v>-1347.7867789208922</v>
      </c>
      <c r="I132" s="173">
        <v>-2204.280287734824</v>
      </c>
      <c r="J132" s="173">
        <v>-3068.6639913379422</v>
      </c>
      <c r="K132" s="173">
        <v>-3948.9996104931079</v>
      </c>
    </row>
    <row r="133" spans="2:11" x14ac:dyDescent="0.35">
      <c r="B133" s="202"/>
      <c r="C133" s="172">
        <f t="shared" si="19"/>
        <v>0.75000000000000011</v>
      </c>
      <c r="D133" s="173">
        <v>-491.29327010695761</v>
      </c>
      <c r="E133" s="173">
        <v>-1347.7867789208922</v>
      </c>
      <c r="F133" s="173">
        <v>-2204.280287734824</v>
      </c>
      <c r="G133" s="176">
        <v>-3068.6639913379422</v>
      </c>
      <c r="H133" s="173">
        <v>-3948.9996104931079</v>
      </c>
      <c r="I133" s="173">
        <v>-4921.7305541361075</v>
      </c>
      <c r="J133" s="173">
        <v>-6349.2197354926639</v>
      </c>
      <c r="K133" s="173">
        <v>-7776.7089168492212</v>
      </c>
    </row>
    <row r="134" spans="2:11" ht="15" thickBot="1" x14ac:dyDescent="0.4">
      <c r="B134" s="202"/>
      <c r="C134" s="172">
        <f t="shared" si="19"/>
        <v>0.80000000000000016</v>
      </c>
      <c r="D134" s="173">
        <v>-3068.6639913379422</v>
      </c>
      <c r="E134" s="173">
        <v>-3948.9996104931079</v>
      </c>
      <c r="F134" s="173">
        <v>-4921.7305541361075</v>
      </c>
      <c r="G134" s="177">
        <v>-6349.2197354926639</v>
      </c>
      <c r="H134" s="173">
        <v>-7776.7089168492212</v>
      </c>
      <c r="I134" s="173">
        <v>-9204.1980982057776</v>
      </c>
      <c r="J134" s="173">
        <v>-10631.687279562322</v>
      </c>
      <c r="K134" s="173">
        <v>-12059.176460918889</v>
      </c>
    </row>
    <row r="137" spans="2:11" ht="15" thickBot="1" x14ac:dyDescent="0.4">
      <c r="B137" s="64" t="s">
        <v>271</v>
      </c>
      <c r="D137" s="201" t="s">
        <v>269</v>
      </c>
      <c r="E137" s="201"/>
      <c r="F137" s="201"/>
      <c r="G137" s="201"/>
      <c r="H137" s="201"/>
      <c r="I137" s="201"/>
      <c r="J137" s="201"/>
      <c r="K137" s="201"/>
    </row>
    <row r="138" spans="2:11" x14ac:dyDescent="0.35">
      <c r="C138" s="170">
        <f>$B$50</f>
        <v>3791.1742739627184</v>
      </c>
      <c r="D138" s="171">
        <v>0.5</v>
      </c>
      <c r="E138" s="171">
        <f>D138+0.5</f>
        <v>1</v>
      </c>
      <c r="F138" s="171">
        <f t="shared" ref="F138:H138" si="20">E138+0.5</f>
        <v>1.5</v>
      </c>
      <c r="G138" s="175">
        <f t="shared" si="20"/>
        <v>2</v>
      </c>
      <c r="H138" s="171">
        <f t="shared" si="20"/>
        <v>2.5</v>
      </c>
      <c r="I138" s="171">
        <f>H138+0.5</f>
        <v>3</v>
      </c>
      <c r="J138" s="171">
        <f t="shared" ref="J138:K138" si="21">I138+0.5</f>
        <v>3.5</v>
      </c>
      <c r="K138" s="171">
        <f t="shared" si="21"/>
        <v>4</v>
      </c>
    </row>
    <row r="139" spans="2:11" ht="14.4" customHeight="1" x14ac:dyDescent="0.35">
      <c r="B139" s="202" t="s">
        <v>121</v>
      </c>
      <c r="C139" s="172">
        <v>0.3</v>
      </c>
      <c r="D139" s="173">
        <f t="dataTable" ref="D139:K149" dt2D="1" dtr="1" r1="D9" r2="D10"/>
        <v>-9917.9426888840444</v>
      </c>
      <c r="E139" s="173">
        <v>1221.693747520917</v>
      </c>
      <c r="F139" s="173">
        <v>10214.875590067222</v>
      </c>
      <c r="G139" s="176">
        <v>19208.057432613525</v>
      </c>
      <c r="H139" s="173">
        <v>28201.239275159831</v>
      </c>
      <c r="I139" s="173">
        <v>37194.421117706137</v>
      </c>
      <c r="J139" s="173">
        <v>46187.602960252443</v>
      </c>
      <c r="K139" s="173">
        <v>55180.784802798749</v>
      </c>
    </row>
    <row r="140" spans="2:11" x14ac:dyDescent="0.35">
      <c r="B140" s="202"/>
      <c r="C140" s="172">
        <f>C139+0.05</f>
        <v>0.35</v>
      </c>
      <c r="D140" s="173">
        <v>-10988.559574901461</v>
      </c>
      <c r="E140" s="173">
        <v>-63.046515699984411</v>
      </c>
      <c r="F140" s="173">
        <v>8287.7651952358719</v>
      </c>
      <c r="G140" s="176">
        <v>16638.576906171726</v>
      </c>
      <c r="H140" s="173">
        <v>24989.388617107579</v>
      </c>
      <c r="I140" s="173">
        <v>33340.200328043429</v>
      </c>
      <c r="J140" s="173">
        <v>41691.012038979294</v>
      </c>
      <c r="K140" s="173">
        <v>50041.823749915144</v>
      </c>
    </row>
    <row r="141" spans="2:11" x14ac:dyDescent="0.35">
      <c r="B141" s="202"/>
      <c r="C141" s="172">
        <f t="shared" ref="C141:C149" si="22">C140+0.05</f>
        <v>0.39999999999999997</v>
      </c>
      <c r="D141" s="173">
        <v>-12059.176460918879</v>
      </c>
      <c r="E141" s="173">
        <v>-1347.7867789208849</v>
      </c>
      <c r="F141" s="173">
        <v>6360.6548004045198</v>
      </c>
      <c r="G141" s="176">
        <v>14069.096379729925</v>
      </c>
      <c r="H141" s="173">
        <v>21777.537959055328</v>
      </c>
      <c r="I141" s="173">
        <v>29485.979538380732</v>
      </c>
      <c r="J141" s="173">
        <v>37194.421117706137</v>
      </c>
      <c r="K141" s="173">
        <v>44902.862697031538</v>
      </c>
    </row>
    <row r="142" spans="2:11" x14ac:dyDescent="0.35">
      <c r="B142" s="202"/>
      <c r="C142" s="172">
        <f t="shared" si="22"/>
        <v>0.44999999999999996</v>
      </c>
      <c r="D142" s="173">
        <v>-13129.793346936298</v>
      </c>
      <c r="E142" s="173">
        <v>-2632.5270421417854</v>
      </c>
      <c r="F142" s="173">
        <v>4433.5444055731696</v>
      </c>
      <c r="G142" s="176">
        <v>11499.615853288124</v>
      </c>
      <c r="H142" s="173">
        <v>18565.687301003076</v>
      </c>
      <c r="I142" s="173">
        <v>25631.758748718035</v>
      </c>
      <c r="J142" s="173">
        <v>32697.830196432988</v>
      </c>
      <c r="K142" s="173">
        <v>39763.90164414794</v>
      </c>
    </row>
    <row r="143" spans="2:11" x14ac:dyDescent="0.35">
      <c r="B143" s="202"/>
      <c r="C143" s="172">
        <f t="shared" si="22"/>
        <v>0.49999999999999994</v>
      </c>
      <c r="D143" s="173">
        <v>-14200.410232953709</v>
      </c>
      <c r="E143" s="173">
        <v>-3948.9996104930988</v>
      </c>
      <c r="F143" s="173">
        <v>2506.4340107418193</v>
      </c>
      <c r="G143" s="176">
        <v>8930.1353268463245</v>
      </c>
      <c r="H143" s="173">
        <v>15353.836642950831</v>
      </c>
      <c r="I143" s="173">
        <v>21777.537959055335</v>
      </c>
      <c r="J143" s="173">
        <v>28201.239275159838</v>
      </c>
      <c r="K143" s="173">
        <v>34624.940591264341</v>
      </c>
    </row>
    <row r="144" spans="2:11" ht="15" thickBot="1" x14ac:dyDescent="0.4">
      <c r="B144" s="202"/>
      <c r="C144" s="172">
        <f t="shared" si="22"/>
        <v>0.54999999999999993</v>
      </c>
      <c r="D144" s="173">
        <v>-15271.027118971126</v>
      </c>
      <c r="E144" s="173">
        <v>-5635.4751448143707</v>
      </c>
      <c r="F144" s="173">
        <v>579.32361591046902</v>
      </c>
      <c r="G144" s="176">
        <v>6360.6548004045244</v>
      </c>
      <c r="H144" s="173">
        <v>12141.985984898578</v>
      </c>
      <c r="I144" s="173">
        <v>17923.317169392631</v>
      </c>
      <c r="J144" s="173">
        <v>23704.648353886685</v>
      </c>
      <c r="K144" s="173">
        <v>29485.979538380743</v>
      </c>
    </row>
    <row r="145" spans="2:11" ht="15" thickBot="1" x14ac:dyDescent="0.4">
      <c r="B145" s="202"/>
      <c r="C145" s="178">
        <f t="shared" si="22"/>
        <v>0.6</v>
      </c>
      <c r="D145" s="179">
        <v>-16341.644004988546</v>
      </c>
      <c r="E145" s="179">
        <v>-7776.7089168492093</v>
      </c>
      <c r="F145" s="179">
        <v>-1347.7867789208849</v>
      </c>
      <c r="G145" s="174">
        <v>3791.1742739627184</v>
      </c>
      <c r="H145" s="179">
        <v>8930.1353268463208</v>
      </c>
      <c r="I145" s="179">
        <v>14069.096379729925</v>
      </c>
      <c r="J145" s="179">
        <v>19208.057432613525</v>
      </c>
      <c r="K145" s="180">
        <v>24347.01848549713</v>
      </c>
    </row>
    <row r="146" spans="2:11" x14ac:dyDescent="0.35">
      <c r="B146" s="202"/>
      <c r="C146" s="172">
        <f t="shared" si="22"/>
        <v>0.65</v>
      </c>
      <c r="D146" s="173">
        <v>-17412.260891005964</v>
      </c>
      <c r="E146" s="173">
        <v>-9917.9426888840444</v>
      </c>
      <c r="F146" s="173">
        <v>-3287.7187402846575</v>
      </c>
      <c r="G146" s="176">
        <v>1221.693747520917</v>
      </c>
      <c r="H146" s="173">
        <v>5718.2846687940691</v>
      </c>
      <c r="I146" s="173">
        <v>10214.875590067222</v>
      </c>
      <c r="J146" s="173">
        <v>14711.466511340375</v>
      </c>
      <c r="K146" s="173">
        <v>19208.057432613525</v>
      </c>
    </row>
    <row r="147" spans="2:11" x14ac:dyDescent="0.35">
      <c r="B147" s="202"/>
      <c r="C147" s="172">
        <f t="shared" si="22"/>
        <v>0.70000000000000007</v>
      </c>
      <c r="D147" s="173">
        <v>-18482.877777023383</v>
      </c>
      <c r="E147" s="173">
        <v>-12059.176460918883</v>
      </c>
      <c r="F147" s="173">
        <v>-5635.4751448143797</v>
      </c>
      <c r="G147" s="176">
        <v>-1347.7867789208922</v>
      </c>
      <c r="H147" s="173">
        <v>2506.434010741812</v>
      </c>
      <c r="I147" s="173">
        <v>6360.6548004045126</v>
      </c>
      <c r="J147" s="173">
        <v>10214.875590067222</v>
      </c>
      <c r="K147" s="173">
        <v>14069.096379729915</v>
      </c>
    </row>
    <row r="148" spans="2:11" x14ac:dyDescent="0.35">
      <c r="B148" s="202"/>
      <c r="C148" s="172">
        <f t="shared" si="22"/>
        <v>0.75000000000000011</v>
      </c>
      <c r="D148" s="173">
        <v>-19553.494663040801</v>
      </c>
      <c r="E148" s="173">
        <v>-14200.410232953718</v>
      </c>
      <c r="F148" s="173">
        <v>-8847.3258028666351</v>
      </c>
      <c r="G148" s="176">
        <v>-3948.9996104931079</v>
      </c>
      <c r="H148" s="173">
        <v>-705.41664731043966</v>
      </c>
      <c r="I148" s="173">
        <v>2506.4340107418066</v>
      </c>
      <c r="J148" s="173">
        <v>5718.2846687940564</v>
      </c>
      <c r="K148" s="173">
        <v>8930.1353268463099</v>
      </c>
    </row>
    <row r="149" spans="2:11" ht="15" thickBot="1" x14ac:dyDescent="0.4">
      <c r="B149" s="202"/>
      <c r="C149" s="172">
        <f t="shared" si="22"/>
        <v>0.80000000000000016</v>
      </c>
      <c r="D149" s="173">
        <v>-20624.111549058223</v>
      </c>
      <c r="E149" s="173">
        <v>-16341.644004988551</v>
      </c>
      <c r="F149" s="173">
        <v>-12059.176460918889</v>
      </c>
      <c r="G149" s="177">
        <v>-7776.7089168492212</v>
      </c>
      <c r="H149" s="173">
        <v>-3948.9996104931124</v>
      </c>
      <c r="I149" s="173">
        <v>-1347.7867789208976</v>
      </c>
      <c r="J149" s="173">
        <v>1221.6937475209052</v>
      </c>
      <c r="K149" s="173">
        <v>3791.1742739627061</v>
      </c>
    </row>
  </sheetData>
  <scenarios current="6" show="6" sqref="B50:B54">
    <scenario name="units -10%" locked="1" count="1" user="Author" comment="Created by Author on 18/02/2018_x000a_Modified by Author on 18/02/2018">
      <inputCells r="E8" val="-0.1" numFmtId="9"/>
    </scenario>
    <scenario name="units -5" locked="1" count="1" user="Author" comment="Created by Author on 18/02/2018">
      <inputCells r="E8" val="-0.05" numFmtId="9"/>
    </scenario>
    <scenario name="units 0" locked="1" count="1" user="Author" comment="Created by Author on 18/02/2018">
      <inputCells r="E8" val="0" numFmtId="9"/>
    </scenario>
    <scenario name="units 5%" locked="1" count="1" user="Author" comment="Created by Author on 18/02/2018">
      <inputCells r="E8" val="0.05" numFmtId="9"/>
    </scenario>
    <scenario name="units 10%" locked="1" count="1" user="Author" comment="Created by Author on 18/02/2018">
      <inputCells r="E8" val="0.1" numFmtId="9"/>
    </scenario>
    <scenario name="price -10" locked="1" count="1" user="Author" comment="Created by Author on 19/02/2018">
      <inputCells r="E9" val="-0.1" numFmtId="9"/>
    </scenario>
    <scenario name="price -5" locked="1" count="1" user="Author" comment="Created by Author on 19/02/2018">
      <inputCells r="E9" val="-0.05" numFmtId="9"/>
    </scenario>
    <scenario name="price 0" locked="1" count="1" user="Author" comment="Created by Author on 19/02/2018">
      <inputCells r="E9" val="0" numFmtId="9"/>
    </scenario>
    <scenario name="price 5" locked="1" count="1" user="Author" comment="Created by Author on 19/02/2018">
      <inputCells r="E9" val="0.05" numFmtId="9"/>
    </scenario>
    <scenario name="price 10%" locked="1" count="1" user="Author" comment="Created by Author on 19/02/2018">
      <inputCells r="E9" val="0.1" numFmtId="9"/>
    </scenario>
  </scenarios>
  <mergeCells count="10">
    <mergeCell ref="D122:K122"/>
    <mergeCell ref="B124:B134"/>
    <mergeCell ref="D137:K137"/>
    <mergeCell ref="B139:B149"/>
    <mergeCell ref="J2:N2"/>
    <mergeCell ref="J10:N10"/>
    <mergeCell ref="B63:G63"/>
    <mergeCell ref="I63:N63"/>
    <mergeCell ref="D107:K107"/>
    <mergeCell ref="B109:B119"/>
  </mergeCells>
  <conditionalFormatting sqref="E3:E13">
    <cfRule type="cellIs" dxfId="8" priority="6" operator="notEqual">
      <formula>0</formula>
    </cfRule>
  </conditionalFormatting>
  <conditionalFormatting sqref="D109:K119">
    <cfRule type="cellIs" dxfId="7" priority="5" operator="greaterThan">
      <formula>0</formula>
    </cfRule>
  </conditionalFormatting>
  <conditionalFormatting sqref="D124:K134">
    <cfRule type="cellIs" dxfId="6" priority="4" operator="greaterThan">
      <formula>0</formula>
    </cfRule>
  </conditionalFormatting>
  <conditionalFormatting sqref="D139:K142 D145:K149 D143:F144 H143:K144">
    <cfRule type="cellIs" dxfId="5" priority="3" operator="greaterThan">
      <formula>0</formula>
    </cfRule>
  </conditionalFormatting>
  <conditionalFormatting sqref="G144">
    <cfRule type="cellIs" dxfId="4" priority="2" operator="greaterThan">
      <formula>0</formula>
    </cfRule>
  </conditionalFormatting>
  <conditionalFormatting sqref="G143">
    <cfRule type="cellIs" dxfId="3" priority="1" operator="greaterThan">
      <formula>0</formula>
    </cfRule>
  </conditionalFormatting>
  <pageMargins left="0.7" right="0.7" top="0.75" bottom="0.75" header="0.3" footer="0.3"/>
  <pageSetup paperSize="9" orientation="portrait"/>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36"/>
  <sheetViews>
    <sheetView topLeftCell="A19" zoomScaleNormal="100" workbookViewId="0">
      <selection activeCell="N39" sqref="N39"/>
    </sheetView>
  </sheetViews>
  <sheetFormatPr defaultRowHeight="14.5" outlineLevelRow="1" x14ac:dyDescent="0.35"/>
  <cols>
    <col min="1" max="1" width="25.90625" customWidth="1"/>
    <col min="2" max="2" width="11.453125" bestFit="1" customWidth="1"/>
    <col min="3" max="3" width="10.54296875" customWidth="1"/>
    <col min="4" max="4" width="10.453125" bestFit="1" customWidth="1"/>
    <col min="5" max="5" width="11.1796875" customWidth="1"/>
    <col min="6" max="6" width="11.453125" bestFit="1" customWidth="1"/>
    <col min="8" max="8" width="9.453125" bestFit="1" customWidth="1"/>
    <col min="9" max="9" width="13" customWidth="1"/>
    <col min="10" max="12" width="11.54296875" customWidth="1"/>
    <col min="13" max="13" width="16.453125" customWidth="1"/>
    <col min="14" max="14" width="14.90625" customWidth="1"/>
  </cols>
  <sheetData>
    <row r="1" spans="1:8" x14ac:dyDescent="0.35">
      <c r="A1" s="6"/>
      <c r="B1" s="6"/>
      <c r="C1" s="6"/>
      <c r="D1" s="6"/>
      <c r="E1" s="6"/>
      <c r="F1" s="6"/>
      <c r="G1" s="6"/>
      <c r="H1" s="6"/>
    </row>
    <row r="2" spans="1:8" x14ac:dyDescent="0.35">
      <c r="A2" s="17" t="s">
        <v>41</v>
      </c>
      <c r="B2" s="17"/>
      <c r="C2" s="17"/>
      <c r="D2" s="55" t="s">
        <v>116</v>
      </c>
      <c r="E2" s="55" t="s">
        <v>117</v>
      </c>
      <c r="F2" s="6"/>
      <c r="G2" s="6"/>
      <c r="H2" s="6"/>
    </row>
    <row r="3" spans="1:8" x14ac:dyDescent="0.35">
      <c r="A3" s="17" t="s">
        <v>32</v>
      </c>
      <c r="B3" s="17">
        <f>D3*(100%+E3)</f>
        <v>9500</v>
      </c>
      <c r="C3" s="17"/>
      <c r="D3" s="2">
        <v>9500</v>
      </c>
      <c r="E3" s="49">
        <v>0</v>
      </c>
      <c r="F3" s="6"/>
      <c r="G3" s="6"/>
      <c r="H3" s="6"/>
    </row>
    <row r="4" spans="1:8" x14ac:dyDescent="0.35">
      <c r="A4" s="17" t="s">
        <v>33</v>
      </c>
      <c r="B4" s="17">
        <f t="shared" ref="B4:B5" si="0">D4*(100%+E4)</f>
        <v>500</v>
      </c>
      <c r="C4" s="17"/>
      <c r="D4" s="2">
        <v>500</v>
      </c>
      <c r="E4" s="49">
        <v>0</v>
      </c>
      <c r="F4" s="6"/>
      <c r="G4" s="6"/>
      <c r="H4" s="6"/>
    </row>
    <row r="5" spans="1:8" x14ac:dyDescent="0.35">
      <c r="A5" s="17" t="s">
        <v>52</v>
      </c>
      <c r="B5" s="17">
        <f t="shared" si="0"/>
        <v>2000</v>
      </c>
      <c r="C5" s="17"/>
      <c r="D5" s="2">
        <v>2000</v>
      </c>
      <c r="E5" s="49">
        <v>0</v>
      </c>
      <c r="F5" s="6"/>
      <c r="G5" s="6"/>
      <c r="H5" s="6"/>
    </row>
    <row r="6" spans="1:8" x14ac:dyDescent="0.35">
      <c r="A6" s="17"/>
      <c r="B6" s="17"/>
      <c r="C6" s="17"/>
      <c r="D6" s="2"/>
      <c r="E6" s="49"/>
      <c r="F6" s="6"/>
      <c r="G6" s="6"/>
      <c r="H6" s="6"/>
    </row>
    <row r="7" spans="1:8" x14ac:dyDescent="0.35">
      <c r="A7" s="17" t="s">
        <v>34</v>
      </c>
      <c r="B7" s="17">
        <f>D7*(100%+E7)</f>
        <v>4000</v>
      </c>
      <c r="C7" s="17"/>
      <c r="D7" s="2">
        <v>4000</v>
      </c>
      <c r="E7" s="49">
        <v>0</v>
      </c>
      <c r="F7" s="6"/>
      <c r="H7" s="6"/>
    </row>
    <row r="8" spans="1:8" x14ac:dyDescent="0.35">
      <c r="A8" s="17" t="s">
        <v>39</v>
      </c>
      <c r="B8" s="17">
        <f>D8*(100%+E8)</f>
        <v>15000</v>
      </c>
      <c r="C8" s="17"/>
      <c r="D8" s="2">
        <v>15000</v>
      </c>
      <c r="E8" s="49">
        <v>0</v>
      </c>
      <c r="F8" s="6"/>
      <c r="G8" s="6"/>
      <c r="H8" s="6"/>
    </row>
    <row r="9" spans="1:8" x14ac:dyDescent="0.35">
      <c r="A9" s="17" t="s">
        <v>40</v>
      </c>
      <c r="B9" s="17">
        <f>D9*(100%+E9)</f>
        <v>2</v>
      </c>
      <c r="C9" s="17"/>
      <c r="D9" s="2">
        <v>2</v>
      </c>
      <c r="E9" s="49">
        <v>0</v>
      </c>
      <c r="F9" s="6"/>
      <c r="G9" s="6"/>
      <c r="H9" s="6"/>
    </row>
    <row r="10" spans="1:8" x14ac:dyDescent="0.35">
      <c r="A10" s="17" t="s">
        <v>37</v>
      </c>
      <c r="B10" s="18">
        <f t="shared" ref="B10:B12" si="1">D10*(100%+E10)</f>
        <v>0.6</v>
      </c>
      <c r="C10" s="17" t="s">
        <v>42</v>
      </c>
      <c r="D10" s="49">
        <v>0.6</v>
      </c>
      <c r="E10" s="49">
        <v>0</v>
      </c>
      <c r="F10" s="6"/>
      <c r="G10" s="6"/>
      <c r="H10" s="6"/>
    </row>
    <row r="11" spans="1:8" x14ac:dyDescent="0.35">
      <c r="A11" s="17" t="s">
        <v>38</v>
      </c>
      <c r="B11" s="19">
        <f t="shared" si="1"/>
        <v>5000</v>
      </c>
      <c r="C11" s="17"/>
      <c r="D11" s="54">
        <v>5000</v>
      </c>
      <c r="E11" s="49">
        <v>0</v>
      </c>
      <c r="F11" s="6"/>
      <c r="G11" s="6"/>
      <c r="H11" s="6"/>
    </row>
    <row r="12" spans="1:8" x14ac:dyDescent="0.35">
      <c r="A12" s="17" t="s">
        <v>47</v>
      </c>
      <c r="B12" s="18">
        <f t="shared" si="1"/>
        <v>0.4</v>
      </c>
      <c r="C12" s="17"/>
      <c r="D12" s="49">
        <v>0.4</v>
      </c>
      <c r="E12" s="49">
        <v>0</v>
      </c>
      <c r="F12" s="6"/>
      <c r="G12" s="6"/>
      <c r="H12" s="6"/>
    </row>
    <row r="13" spans="1:8" x14ac:dyDescent="0.35">
      <c r="A13" s="35" t="s">
        <v>85</v>
      </c>
      <c r="B13" s="36">
        <f>D13*(100%+E13)</f>
        <v>0</v>
      </c>
      <c r="C13" s="17"/>
      <c r="D13" s="49">
        <v>0</v>
      </c>
      <c r="E13" s="49">
        <v>0</v>
      </c>
      <c r="F13" s="6"/>
      <c r="G13" s="6"/>
      <c r="H13" s="6"/>
    </row>
    <row r="14" spans="1:8" x14ac:dyDescent="0.35">
      <c r="A14" s="6" t="s">
        <v>86</v>
      </c>
      <c r="B14" s="35"/>
      <c r="D14" s="6"/>
      <c r="E14" s="6"/>
      <c r="F14" s="6"/>
      <c r="G14" s="6"/>
      <c r="H14" s="6"/>
    </row>
    <row r="15" spans="1:8" x14ac:dyDescent="0.35">
      <c r="A15" s="7" t="s">
        <v>158</v>
      </c>
      <c r="B15" s="6"/>
      <c r="C15" s="6"/>
      <c r="D15" s="6"/>
      <c r="E15" s="13"/>
      <c r="F15" s="6"/>
      <c r="G15" s="6" t="s">
        <v>192</v>
      </c>
      <c r="H15" s="6"/>
    </row>
    <row r="16" spans="1:8" x14ac:dyDescent="0.35">
      <c r="A16" s="87" t="s">
        <v>159</v>
      </c>
      <c r="B16" s="88">
        <v>0.5</v>
      </c>
      <c r="C16" s="6"/>
      <c r="D16" s="6" t="s">
        <v>144</v>
      </c>
      <c r="E16" s="13">
        <v>0.08</v>
      </c>
      <c r="F16" s="6"/>
      <c r="G16" s="6">
        <f>B3+B4</f>
        <v>10000</v>
      </c>
      <c r="H16" s="6"/>
    </row>
    <row r="17" spans="1:8" x14ac:dyDescent="0.35">
      <c r="A17" s="6" t="s">
        <v>143</v>
      </c>
      <c r="B17" s="6">
        <f>B16*G16</f>
        <v>5000</v>
      </c>
      <c r="C17" s="6"/>
      <c r="D17" s="6" t="s">
        <v>149</v>
      </c>
      <c r="E17" s="86">
        <f>B18*B17</f>
        <v>1000</v>
      </c>
      <c r="F17" s="6"/>
      <c r="H17" s="6"/>
    </row>
    <row r="18" spans="1:8" x14ac:dyDescent="0.35">
      <c r="A18" s="6" t="s">
        <v>148</v>
      </c>
      <c r="B18" s="13">
        <v>0.2</v>
      </c>
      <c r="C18" s="6"/>
      <c r="D18" s="6"/>
      <c r="E18" s="6"/>
      <c r="F18" s="6"/>
      <c r="G18" s="6" t="s">
        <v>191</v>
      </c>
      <c r="H18" s="6"/>
    </row>
    <row r="19" spans="1:8" x14ac:dyDescent="0.35">
      <c r="A19" s="6" t="s">
        <v>193</v>
      </c>
      <c r="B19" s="13">
        <f>1-B16</f>
        <v>0.5</v>
      </c>
      <c r="C19" s="6"/>
      <c r="D19" s="6" t="s">
        <v>145</v>
      </c>
      <c r="E19" s="13">
        <v>0.1</v>
      </c>
      <c r="F19" s="6"/>
      <c r="G19" s="14">
        <f>B16*E16+B19*E21</f>
        <v>0.12</v>
      </c>
      <c r="H19" s="6"/>
    </row>
    <row r="20" spans="1:8" x14ac:dyDescent="0.35">
      <c r="A20" s="6" t="s">
        <v>142</v>
      </c>
      <c r="B20" s="6">
        <f>B19*G16</f>
        <v>5000</v>
      </c>
      <c r="C20" s="6"/>
      <c r="D20" s="6" t="s">
        <v>151</v>
      </c>
      <c r="E20" s="6">
        <v>1.2</v>
      </c>
      <c r="F20" s="6"/>
      <c r="G20" s="6"/>
      <c r="H20" s="6"/>
    </row>
    <row r="21" spans="1:8" x14ac:dyDescent="0.35">
      <c r="A21" s="21" t="s">
        <v>133</v>
      </c>
      <c r="B21" s="26">
        <v>0.1</v>
      </c>
      <c r="C21" s="6"/>
      <c r="D21" s="6" t="s">
        <v>152</v>
      </c>
      <c r="E21" s="90">
        <f>B21+E20*(B22-B21)</f>
        <v>0.15999999999999998</v>
      </c>
      <c r="F21" s="6"/>
      <c r="G21" s="6"/>
      <c r="H21" s="6"/>
    </row>
    <row r="22" spans="1:8" x14ac:dyDescent="0.35">
      <c r="A22" s="25" t="s">
        <v>150</v>
      </c>
      <c r="B22" s="89">
        <v>0.15</v>
      </c>
      <c r="C22" s="6"/>
      <c r="D22" s="6"/>
      <c r="E22" s="6"/>
      <c r="F22" s="6"/>
      <c r="G22" s="6"/>
      <c r="H22" s="6"/>
    </row>
    <row r="23" spans="1:8" x14ac:dyDescent="0.35">
      <c r="A23" s="6"/>
      <c r="B23" s="6"/>
      <c r="D23" s="6"/>
      <c r="E23" s="6"/>
      <c r="F23" s="6"/>
      <c r="G23" s="6"/>
      <c r="H23" s="6"/>
    </row>
    <row r="24" spans="1:8" x14ac:dyDescent="0.35">
      <c r="A24" s="5"/>
      <c r="B24" s="5">
        <v>0</v>
      </c>
      <c r="C24" s="5">
        <v>1</v>
      </c>
      <c r="D24" s="5">
        <v>2</v>
      </c>
      <c r="E24" s="5">
        <v>3</v>
      </c>
      <c r="F24" s="5">
        <v>4</v>
      </c>
      <c r="G24" s="6"/>
      <c r="H24" s="6"/>
    </row>
    <row r="25" spans="1:8" x14ac:dyDescent="0.35">
      <c r="A25" s="15" t="s">
        <v>31</v>
      </c>
      <c r="B25" s="6"/>
      <c r="C25" s="6"/>
      <c r="D25" s="6"/>
      <c r="E25" s="6"/>
      <c r="F25" s="6"/>
      <c r="G25" s="6"/>
      <c r="H25" s="6"/>
    </row>
    <row r="26" spans="1:8" x14ac:dyDescent="0.35">
      <c r="A26" s="6" t="s">
        <v>32</v>
      </c>
      <c r="B26" s="6">
        <f>-B3</f>
        <v>-9500</v>
      </c>
      <c r="C26" s="6"/>
      <c r="D26" s="6"/>
      <c r="E26" s="6"/>
      <c r="F26" s="6"/>
      <c r="G26" s="6"/>
      <c r="H26" s="6"/>
    </row>
    <row r="27" spans="1:8" x14ac:dyDescent="0.35">
      <c r="A27" s="6" t="s">
        <v>33</v>
      </c>
      <c r="B27" s="6">
        <f>-B4</f>
        <v>-500</v>
      </c>
      <c r="C27" s="6"/>
      <c r="D27" s="6"/>
      <c r="E27" s="6"/>
      <c r="F27" s="6"/>
      <c r="G27" s="6"/>
      <c r="H27" s="6"/>
    </row>
    <row r="28" spans="1:8" x14ac:dyDescent="0.35">
      <c r="A28" s="6" t="s">
        <v>34</v>
      </c>
      <c r="B28" s="6">
        <f>-B7</f>
        <v>-4000</v>
      </c>
      <c r="C28" s="6"/>
      <c r="D28" s="6"/>
      <c r="E28" s="6"/>
      <c r="F28" s="6"/>
      <c r="G28" s="6"/>
      <c r="H28" s="6"/>
    </row>
    <row r="29" spans="1:8" x14ac:dyDescent="0.35">
      <c r="A29" s="7" t="s">
        <v>35</v>
      </c>
      <c r="B29" s="6">
        <f>SUM(B26:B28)</f>
        <v>-14000</v>
      </c>
      <c r="C29" s="6"/>
      <c r="D29" s="6"/>
      <c r="E29" s="6"/>
      <c r="F29" s="6"/>
      <c r="G29" s="6"/>
      <c r="H29" s="6"/>
    </row>
    <row r="30" spans="1:8" ht="11.5" customHeight="1" x14ac:dyDescent="0.35">
      <c r="A30" s="6"/>
      <c r="B30" s="6"/>
      <c r="C30" s="6"/>
      <c r="D30" s="6"/>
      <c r="E30" s="6"/>
      <c r="F30" s="6"/>
      <c r="G30" s="6"/>
      <c r="H30" s="6"/>
    </row>
    <row r="31" spans="1:8" x14ac:dyDescent="0.35">
      <c r="A31" s="15" t="s">
        <v>59</v>
      </c>
      <c r="B31" s="6"/>
      <c r="C31" s="6"/>
      <c r="D31" s="6"/>
      <c r="E31" s="6"/>
      <c r="F31" s="6"/>
      <c r="G31" s="6"/>
      <c r="H31" s="6"/>
    </row>
    <row r="32" spans="1:8" x14ac:dyDescent="0.35">
      <c r="A32" s="35" t="s">
        <v>36</v>
      </c>
      <c r="B32" s="6"/>
      <c r="C32" s="32">
        <f>$B$8*$B$9*(1+$B$13)</f>
        <v>30000</v>
      </c>
      <c r="D32" s="32">
        <f>C32*(1+$B$13)</f>
        <v>30000</v>
      </c>
      <c r="E32" s="32">
        <f>D32*(1+$B$13)</f>
        <v>30000</v>
      </c>
      <c r="F32" s="32">
        <f>E32*(1+$B$13)</f>
        <v>30000</v>
      </c>
      <c r="G32" s="6"/>
      <c r="H32" s="6"/>
    </row>
    <row r="33" spans="1:8" x14ac:dyDescent="0.35">
      <c r="A33" s="37" t="s">
        <v>37</v>
      </c>
      <c r="B33" s="6"/>
      <c r="C33" s="32">
        <f>-C32*$B$10</f>
        <v>-18000</v>
      </c>
      <c r="D33" s="32">
        <f t="shared" ref="D33:F33" si="2">-D32*$B$10</f>
        <v>-18000</v>
      </c>
      <c r="E33" s="32">
        <f t="shared" si="2"/>
        <v>-18000</v>
      </c>
      <c r="F33" s="32">
        <f t="shared" si="2"/>
        <v>-18000</v>
      </c>
      <c r="G33" s="6"/>
      <c r="H33" s="6"/>
    </row>
    <row r="34" spans="1:8" x14ac:dyDescent="0.35">
      <c r="A34" s="38" t="s">
        <v>38</v>
      </c>
      <c r="B34" s="16"/>
      <c r="C34" s="33">
        <f>-B11*(1+$B$13)</f>
        <v>-5000</v>
      </c>
      <c r="D34" s="33">
        <f>C34*(1+$B$13)</f>
        <v>-5000</v>
      </c>
      <c r="E34" s="33">
        <f>D34*(1+$B$13)</f>
        <v>-5000</v>
      </c>
      <c r="F34" s="33">
        <f>E34*(1+$B$13)</f>
        <v>-5000</v>
      </c>
      <c r="G34" s="6"/>
      <c r="H34" s="6"/>
    </row>
    <row r="35" spans="1:8" x14ac:dyDescent="0.35">
      <c r="A35" s="7" t="s">
        <v>45</v>
      </c>
      <c r="B35" s="6"/>
      <c r="C35" s="34">
        <f>SUM(C32:C34)</f>
        <v>7000</v>
      </c>
      <c r="D35" s="34">
        <f>SUM(D32:D34)</f>
        <v>7000</v>
      </c>
      <c r="E35" s="34">
        <f>SUM(E32:E34)</f>
        <v>7000</v>
      </c>
      <c r="F35" s="34">
        <f>SUM(F32:F34)</f>
        <v>7000</v>
      </c>
      <c r="G35" s="6"/>
      <c r="H35" s="6"/>
    </row>
    <row r="36" spans="1:8" x14ac:dyDescent="0.35">
      <c r="A36" s="16" t="s">
        <v>43</v>
      </c>
      <c r="B36" s="16"/>
      <c r="C36" s="33">
        <f>($B$26+$B$27)*C66</f>
        <v>-2000</v>
      </c>
      <c r="D36" s="33">
        <f>($B$26+$B$27)*D66</f>
        <v>-3200</v>
      </c>
      <c r="E36" s="33">
        <f>($B$26+$B$27)*E66</f>
        <v>-1920</v>
      </c>
      <c r="F36" s="33">
        <f>($B$26+$B$27)*F66</f>
        <v>-1152</v>
      </c>
      <c r="G36" s="6"/>
      <c r="H36" s="6"/>
    </row>
    <row r="37" spans="1:8" x14ac:dyDescent="0.35">
      <c r="A37" s="7" t="s">
        <v>48</v>
      </c>
      <c r="B37" s="6"/>
      <c r="C37" s="34">
        <f>C35+C36</f>
        <v>5000</v>
      </c>
      <c r="D37" s="34">
        <f t="shared" ref="D37:F37" si="3">D35+D36</f>
        <v>3800</v>
      </c>
      <c r="E37" s="34">
        <f t="shared" si="3"/>
        <v>5080</v>
      </c>
      <c r="F37" s="34">
        <f t="shared" si="3"/>
        <v>5848</v>
      </c>
      <c r="G37" s="6"/>
      <c r="H37" s="6"/>
    </row>
    <row r="38" spans="1:8" x14ac:dyDescent="0.35">
      <c r="A38" s="8" t="s">
        <v>112</v>
      </c>
      <c r="B38" s="8"/>
      <c r="C38" s="52">
        <f>IF(B37+B38&lt;0,B37+B38,0)</f>
        <v>0</v>
      </c>
      <c r="D38" s="52">
        <f>IF(C37+C38&lt;0,C37+C38,0)</f>
        <v>0</v>
      </c>
      <c r="E38" s="52">
        <f t="shared" ref="E38" si="4">IF(D37+D38&lt;0,D37+D38,0)</f>
        <v>0</v>
      </c>
      <c r="F38" s="52">
        <f>IF(E37+E38&lt;0,E37+E38,0)</f>
        <v>0</v>
      </c>
      <c r="G38" s="6"/>
      <c r="H38" s="6"/>
    </row>
    <row r="39" spans="1:8" x14ac:dyDescent="0.35">
      <c r="A39" s="16" t="s">
        <v>46</v>
      </c>
      <c r="B39" s="16"/>
      <c r="C39" s="33">
        <f>IF(C37+C38&lt;0,0,-(C37+C38)*$B$12)</f>
        <v>-2000</v>
      </c>
      <c r="D39" s="33">
        <f t="shared" ref="D39:F39" si="5">IF(D37+D38&lt;0,0,-(D37+D38)*$B$12)</f>
        <v>-1520</v>
      </c>
      <c r="E39" s="33">
        <f t="shared" si="5"/>
        <v>-2032</v>
      </c>
      <c r="F39" s="33">
        <f t="shared" si="5"/>
        <v>-2339.2000000000003</v>
      </c>
      <c r="G39" s="6"/>
      <c r="H39" s="6"/>
    </row>
    <row r="40" spans="1:8" x14ac:dyDescent="0.35">
      <c r="A40" s="7" t="s">
        <v>49</v>
      </c>
      <c r="B40" s="6"/>
      <c r="C40" s="34">
        <f>C37+C39</f>
        <v>3000</v>
      </c>
      <c r="D40" s="34">
        <f>D37+D39</f>
        <v>2280</v>
      </c>
      <c r="E40" s="34">
        <f>E37+E39</f>
        <v>3048</v>
      </c>
      <c r="F40" s="34">
        <f>F37+F39</f>
        <v>3508.7999999999997</v>
      </c>
      <c r="G40" s="6"/>
      <c r="H40" s="6"/>
    </row>
    <row r="41" spans="1:8" x14ac:dyDescent="0.35">
      <c r="A41" s="16" t="s">
        <v>55</v>
      </c>
      <c r="B41" s="16"/>
      <c r="C41" s="33">
        <f>-C36</f>
        <v>2000</v>
      </c>
      <c r="D41" s="33">
        <f>-D36</f>
        <v>3200</v>
      </c>
      <c r="E41" s="33">
        <f>-E36</f>
        <v>1920</v>
      </c>
      <c r="F41" s="33">
        <f>-F36</f>
        <v>1152</v>
      </c>
      <c r="G41" s="6"/>
      <c r="H41" s="6"/>
    </row>
    <row r="42" spans="1:8" x14ac:dyDescent="0.35">
      <c r="A42" s="7" t="s">
        <v>58</v>
      </c>
      <c r="B42" s="6"/>
      <c r="C42" s="34">
        <f>C40+C41</f>
        <v>5000</v>
      </c>
      <c r="D42" s="34">
        <f t="shared" ref="D42:F42" si="6">D40+D41</f>
        <v>5480</v>
      </c>
      <c r="E42" s="34">
        <f t="shared" si="6"/>
        <v>4968</v>
      </c>
      <c r="F42" s="34">
        <f t="shared" si="6"/>
        <v>4660.7999999999993</v>
      </c>
      <c r="G42" s="6"/>
      <c r="H42" s="6"/>
    </row>
    <row r="43" spans="1:8" ht="6.65" customHeight="1" x14ac:dyDescent="0.35">
      <c r="A43" s="6"/>
      <c r="B43" s="6"/>
      <c r="C43" s="6"/>
      <c r="D43" s="6"/>
      <c r="E43" s="6"/>
      <c r="F43" s="6"/>
      <c r="G43" s="6"/>
      <c r="H43" s="6"/>
    </row>
    <row r="44" spans="1:8" x14ac:dyDescent="0.35">
      <c r="A44" s="15" t="s">
        <v>51</v>
      </c>
      <c r="B44" s="6"/>
      <c r="C44" s="6"/>
      <c r="D44" s="6"/>
      <c r="E44" s="6"/>
      <c r="F44" s="6"/>
      <c r="G44" s="6"/>
      <c r="H44" s="6"/>
    </row>
    <row r="45" spans="1:8" x14ac:dyDescent="0.35">
      <c r="A45" s="6" t="s">
        <v>56</v>
      </c>
      <c r="B45" s="6"/>
      <c r="C45" s="6"/>
      <c r="D45" s="6"/>
      <c r="E45" s="6"/>
      <c r="F45" s="6">
        <f>B5</f>
        <v>2000</v>
      </c>
      <c r="G45" s="6"/>
      <c r="H45" s="6"/>
    </row>
    <row r="46" spans="1:8" x14ac:dyDescent="0.35">
      <c r="A46" s="8" t="s">
        <v>54</v>
      </c>
      <c r="B46" s="6"/>
      <c r="C46" s="6"/>
      <c r="D46" s="6"/>
      <c r="E46" s="6"/>
      <c r="F46" s="6">
        <f>-(B5-F68)*B12</f>
        <v>-108.80000000000001</v>
      </c>
      <c r="G46" s="6"/>
      <c r="H46" s="6"/>
    </row>
    <row r="47" spans="1:8" x14ac:dyDescent="0.35">
      <c r="A47" s="16" t="s">
        <v>57</v>
      </c>
      <c r="B47" s="16"/>
      <c r="C47" s="16"/>
      <c r="D47" s="16"/>
      <c r="E47" s="16"/>
      <c r="F47" s="16">
        <f>B7</f>
        <v>4000</v>
      </c>
      <c r="G47" s="6"/>
      <c r="H47" s="6"/>
    </row>
    <row r="48" spans="1:8" x14ac:dyDescent="0.35">
      <c r="A48" s="7" t="s">
        <v>60</v>
      </c>
      <c r="B48" s="6"/>
      <c r="C48" s="6"/>
      <c r="D48" s="6"/>
      <c r="E48" s="6"/>
      <c r="F48" s="7">
        <f>SUM(F45:F47)</f>
        <v>5891.2</v>
      </c>
      <c r="G48" s="6"/>
      <c r="H48" s="6"/>
    </row>
    <row r="49" spans="1:13" ht="9.15" customHeight="1" x14ac:dyDescent="0.35">
      <c r="A49" s="6"/>
      <c r="B49" s="6"/>
      <c r="C49" s="6"/>
      <c r="D49" s="6"/>
      <c r="E49" s="6"/>
      <c r="F49" s="6"/>
      <c r="G49" s="6"/>
      <c r="H49" s="6"/>
    </row>
    <row r="50" spans="1:13" x14ac:dyDescent="0.35">
      <c r="A50" s="27" t="s">
        <v>61</v>
      </c>
      <c r="B50" s="28">
        <f>B29</f>
        <v>-14000</v>
      </c>
      <c r="C50" s="28">
        <f>C42</f>
        <v>5000</v>
      </c>
      <c r="D50" s="28">
        <f t="shared" ref="D50:E50" si="7">D42</f>
        <v>5480</v>
      </c>
      <c r="E50" s="28">
        <f t="shared" si="7"/>
        <v>4968</v>
      </c>
      <c r="F50" s="28">
        <f>F42+F48</f>
        <v>10552</v>
      </c>
      <c r="G50" s="6"/>
      <c r="H50" s="6"/>
    </row>
    <row r="51" spans="1:13" outlineLevel="1" x14ac:dyDescent="0.35">
      <c r="A51" s="7" t="s">
        <v>29</v>
      </c>
      <c r="B51" s="9">
        <f>B50/(1+$E$59)^B24</f>
        <v>-14000</v>
      </c>
      <c r="C51" s="9">
        <f>C50/(1+$E$59)^C24</f>
        <v>4464.2857142857138</v>
      </c>
      <c r="D51" s="9">
        <f>D50/(1+$E$59)^D24</f>
        <v>4368.6224489795914</v>
      </c>
      <c r="E51" s="9">
        <f>E50/(1+$E$59)^E24</f>
        <v>3536.1242711370251</v>
      </c>
      <c r="F51" s="9">
        <f>F50/(1+$E$59)^F24</f>
        <v>6705.9867633277781</v>
      </c>
      <c r="G51" s="6"/>
      <c r="H51" s="6" t="s">
        <v>135</v>
      </c>
      <c r="I51" s="118">
        <f>SUM(B50:F50)</f>
        <v>12000</v>
      </c>
      <c r="J51" s="6"/>
      <c r="K51" s="6"/>
      <c r="L51" s="6"/>
      <c r="M51" s="6"/>
    </row>
    <row r="52" spans="1:13" outlineLevel="1" x14ac:dyDescent="0.35">
      <c r="A52" s="6" t="s">
        <v>66</v>
      </c>
      <c r="B52" s="10">
        <f>B50</f>
        <v>-14000</v>
      </c>
      <c r="C52" s="10">
        <f t="shared" ref="C52:F53" si="8">B52+C50</f>
        <v>-9000</v>
      </c>
      <c r="D52" s="10">
        <f t="shared" si="8"/>
        <v>-3520</v>
      </c>
      <c r="E52" s="10">
        <f t="shared" si="8"/>
        <v>1448</v>
      </c>
      <c r="F52" s="10">
        <f t="shared" si="8"/>
        <v>12000</v>
      </c>
      <c r="G52" s="6"/>
      <c r="H52" s="6" t="s">
        <v>136</v>
      </c>
      <c r="I52" s="118">
        <f>SUM(B54:F54)</f>
        <v>10721.564074051177</v>
      </c>
      <c r="J52" s="6"/>
      <c r="K52" s="6"/>
      <c r="L52" s="6"/>
      <c r="M52" s="6"/>
    </row>
    <row r="53" spans="1:13" outlineLevel="1" x14ac:dyDescent="0.35">
      <c r="A53" s="6" t="s">
        <v>67</v>
      </c>
      <c r="B53" s="10">
        <f>B51</f>
        <v>-14000</v>
      </c>
      <c r="C53" s="10">
        <f t="shared" si="8"/>
        <v>-9535.7142857142862</v>
      </c>
      <c r="D53" s="10">
        <f t="shared" si="8"/>
        <v>-5167.0918367346949</v>
      </c>
      <c r="E53" s="10">
        <f t="shared" si="8"/>
        <v>-1630.9675655976698</v>
      </c>
      <c r="F53" s="10">
        <f t="shared" si="8"/>
        <v>5075.0191977301083</v>
      </c>
      <c r="G53" s="6"/>
      <c r="H53" s="6" t="s">
        <v>29</v>
      </c>
      <c r="I53" s="119">
        <f>B59</f>
        <v>5075.0191977301083</v>
      </c>
      <c r="J53" s="6"/>
      <c r="K53" s="6"/>
      <c r="L53" s="6"/>
      <c r="M53" s="6"/>
    </row>
    <row r="54" spans="1:13" ht="15.65" customHeight="1" outlineLevel="1" x14ac:dyDescent="0.35">
      <c r="A54" s="58" t="s">
        <v>134</v>
      </c>
      <c r="B54" s="85">
        <f>B50*(1+$B$21)^B24/(1+$E$59)^B24</f>
        <v>-14000</v>
      </c>
      <c r="C54" s="85">
        <f>C50*(1+$B$21)^C24/(1+$E$59)^C24</f>
        <v>4910.7142857142853</v>
      </c>
      <c r="D54" s="85">
        <f>D50*(1+$B$21)^D24/(1+$E$59)^D24</f>
        <v>5286.033163265306</v>
      </c>
      <c r="E54" s="85">
        <f>E50*(1+$B$21)^E24/(1+$E$59)^E24</f>
        <v>4706.5814048833818</v>
      </c>
      <c r="F54" s="85">
        <f>F50*(1+$B$21)^F24/(1+$E$59)^F24</f>
        <v>9818.235220188204</v>
      </c>
      <c r="G54" s="6"/>
      <c r="H54" s="6" t="s">
        <v>137</v>
      </c>
      <c r="I54" s="119">
        <f>I51-I52</f>
        <v>1278.4359259488228</v>
      </c>
      <c r="J54" s="6"/>
      <c r="K54" s="6"/>
      <c r="L54" s="6"/>
      <c r="M54" s="6"/>
    </row>
    <row r="55" spans="1:13" outlineLevel="1" x14ac:dyDescent="0.35">
      <c r="A55" s="58" t="s">
        <v>137</v>
      </c>
      <c r="B55" s="85">
        <f>B50-B54</f>
        <v>0</v>
      </c>
      <c r="C55" s="85">
        <f t="shared" ref="C55:F55" si="9">C50-C54</f>
        <v>89.285714285714675</v>
      </c>
      <c r="D55" s="85">
        <f t="shared" si="9"/>
        <v>193.96683673469397</v>
      </c>
      <c r="E55" s="85">
        <f t="shared" si="9"/>
        <v>261.41859511661823</v>
      </c>
      <c r="F55" s="85">
        <f t="shared" si="9"/>
        <v>733.76477981179596</v>
      </c>
      <c r="G55" s="6"/>
      <c r="H55" s="6" t="s">
        <v>139</v>
      </c>
      <c r="I55" s="119">
        <f>I52-I53</f>
        <v>5646.5448763210688</v>
      </c>
      <c r="J55" s="6"/>
      <c r="K55" s="6"/>
      <c r="L55" s="6"/>
      <c r="M55" s="6"/>
    </row>
    <row r="56" spans="1:13" outlineLevel="1" x14ac:dyDescent="0.35">
      <c r="A56" s="58" t="s">
        <v>138</v>
      </c>
      <c r="B56" s="85">
        <f>B54-B51</f>
        <v>0</v>
      </c>
      <c r="C56" s="85">
        <f>C54-C51</f>
        <v>446.42857142857156</v>
      </c>
      <c r="D56" s="85">
        <f>D54-D51</f>
        <v>917.41071428571468</v>
      </c>
      <c r="E56" s="85">
        <f>E54-E51</f>
        <v>1170.4571337463567</v>
      </c>
      <c r="F56" s="85">
        <f>F54-F51</f>
        <v>3112.2484568604259</v>
      </c>
      <c r="G56" s="6"/>
      <c r="H56" s="6"/>
      <c r="I56" s="119"/>
      <c r="J56" s="6"/>
      <c r="K56" s="6"/>
      <c r="L56" s="6"/>
      <c r="M56" s="6"/>
    </row>
    <row r="57" spans="1:13" outlineLevel="1" x14ac:dyDescent="0.35">
      <c r="A57" s="6"/>
      <c r="B57" s="10"/>
      <c r="C57" s="6"/>
      <c r="D57" s="10"/>
      <c r="E57" s="10"/>
      <c r="F57" s="10"/>
      <c r="G57" s="6"/>
      <c r="H57" s="6"/>
      <c r="I57" s="118"/>
      <c r="J57" s="6"/>
      <c r="K57" s="6"/>
      <c r="L57" s="6"/>
      <c r="M57" s="6"/>
    </row>
    <row r="58" spans="1:13" x14ac:dyDescent="0.35">
      <c r="A58" s="6"/>
      <c r="B58" s="6"/>
      <c r="C58" s="6"/>
      <c r="D58" s="6"/>
      <c r="E58" s="6" t="s">
        <v>194</v>
      </c>
      <c r="F58" s="6"/>
      <c r="G58" s="6"/>
      <c r="H58" s="6"/>
      <c r="I58" s="6"/>
      <c r="J58" s="6"/>
      <c r="K58" s="6"/>
      <c r="L58" s="6"/>
      <c r="M58" s="6"/>
    </row>
    <row r="59" spans="1:13" x14ac:dyDescent="0.35">
      <c r="A59" s="21" t="s">
        <v>24</v>
      </c>
      <c r="B59" s="22">
        <f>SUM(B51:F51)</f>
        <v>5075.0191977301083</v>
      </c>
      <c r="C59" s="25"/>
      <c r="D59" s="21" t="s">
        <v>65</v>
      </c>
      <c r="E59" s="56">
        <f>F59*(100%+G59)</f>
        <v>0.12</v>
      </c>
      <c r="F59" s="49">
        <f>G19</f>
        <v>0.12</v>
      </c>
      <c r="G59" s="49">
        <v>0</v>
      </c>
      <c r="H59" s="6"/>
      <c r="I59" s="7" t="s">
        <v>195</v>
      </c>
      <c r="J59" s="6"/>
      <c r="K59" s="6"/>
      <c r="L59" s="6"/>
      <c r="M59" s="6"/>
    </row>
    <row r="60" spans="1:13" x14ac:dyDescent="0.35">
      <c r="A60" s="21" t="s">
        <v>62</v>
      </c>
      <c r="B60" s="23">
        <f>IRR(B50:F50)</f>
        <v>0.26325251341756095</v>
      </c>
      <c r="C60" s="25"/>
      <c r="D60" s="25" t="s">
        <v>89</v>
      </c>
      <c r="E60" s="25"/>
      <c r="F60" s="6"/>
      <c r="G60" s="6"/>
      <c r="H60" s="6"/>
      <c r="I60" s="6" t="s">
        <v>196</v>
      </c>
      <c r="J60" s="6"/>
      <c r="K60" s="6"/>
      <c r="L60" s="6"/>
      <c r="M60" s="6"/>
    </row>
    <row r="61" spans="1:13" x14ac:dyDescent="0.35">
      <c r="A61" s="21" t="s">
        <v>109</v>
      </c>
      <c r="B61" s="23">
        <f>MIRR(B50:F50,E59,E59)</f>
        <v>0.21004705684162639</v>
      </c>
      <c r="C61" s="25"/>
      <c r="D61" s="25" t="s">
        <v>90</v>
      </c>
      <c r="E61" s="25"/>
      <c r="F61" s="6"/>
      <c r="G61" s="6"/>
      <c r="H61" s="6"/>
      <c r="I61" s="6" t="s">
        <v>197</v>
      </c>
      <c r="J61" s="6"/>
      <c r="K61" s="6"/>
      <c r="L61" s="6"/>
      <c r="M61" s="6"/>
    </row>
    <row r="62" spans="1:13" x14ac:dyDescent="0.35">
      <c r="A62" s="21" t="s">
        <v>63</v>
      </c>
      <c r="B62" s="24">
        <f>MATCH(0,B52:F52)-1+-INDEX(B52:F52,1,MATCH(0,B52:F52))/INDEX(C50:F50,1,MATCH(0,B52:F52))</f>
        <v>2.7085346215780999</v>
      </c>
      <c r="C62" s="25"/>
      <c r="D62" s="25" t="s">
        <v>91</v>
      </c>
      <c r="E62" s="25"/>
      <c r="F62" s="6"/>
      <c r="G62" s="6"/>
      <c r="H62" s="6"/>
      <c r="I62" s="6" t="s">
        <v>198</v>
      </c>
      <c r="J62" s="6"/>
      <c r="K62" s="6"/>
      <c r="L62" s="6"/>
      <c r="M62" s="6"/>
    </row>
    <row r="63" spans="1:13" x14ac:dyDescent="0.35">
      <c r="A63" s="21" t="s">
        <v>64</v>
      </c>
      <c r="B63" s="24">
        <f>MATCH(0,B53:F53)-1+-INDEX(B53:F53,1,MATCH(0,B53:F53))/INDEX(C51:F51,1,MATCH(0,B53:F53))</f>
        <v>3.2432106747536018</v>
      </c>
      <c r="C63" s="25"/>
      <c r="D63" s="21"/>
      <c r="E63" s="21"/>
      <c r="F63" s="6"/>
      <c r="G63" s="6"/>
      <c r="H63" s="6"/>
    </row>
    <row r="64" spans="1:13" x14ac:dyDescent="0.35">
      <c r="A64" s="6"/>
      <c r="B64" s="6"/>
      <c r="C64" s="6"/>
      <c r="D64" s="6"/>
      <c r="E64" s="6"/>
      <c r="F64" s="6"/>
      <c r="G64" s="6"/>
      <c r="H64" s="6"/>
    </row>
    <row r="65" spans="1:14" x14ac:dyDescent="0.35">
      <c r="A65" s="17" t="s">
        <v>50</v>
      </c>
      <c r="B65" s="17"/>
      <c r="C65" s="17"/>
      <c r="D65" s="17"/>
      <c r="E65" s="17"/>
      <c r="F65" s="17"/>
      <c r="G65" s="17"/>
      <c r="H65" s="17"/>
    </row>
    <row r="66" spans="1:14" x14ac:dyDescent="0.35">
      <c r="A66" s="17" t="s">
        <v>44</v>
      </c>
      <c r="B66" s="17"/>
      <c r="C66" s="18">
        <v>0.2</v>
      </c>
      <c r="D66" s="18">
        <v>0.32</v>
      </c>
      <c r="E66" s="20">
        <v>0.192</v>
      </c>
      <c r="F66" s="20">
        <v>0.1152</v>
      </c>
      <c r="G66" s="20">
        <v>0.1152</v>
      </c>
      <c r="H66" s="20">
        <v>5.7599999999999998E-2</v>
      </c>
    </row>
    <row r="67" spans="1:14" x14ac:dyDescent="0.35">
      <c r="A67" s="17"/>
      <c r="B67" s="17"/>
      <c r="C67" s="17"/>
      <c r="D67" s="17"/>
      <c r="E67" s="17"/>
      <c r="F67" s="17"/>
      <c r="G67" s="17"/>
      <c r="H67" s="17"/>
    </row>
    <row r="68" spans="1:14" x14ac:dyDescent="0.35">
      <c r="A68" s="17" t="s">
        <v>53</v>
      </c>
      <c r="B68" s="17">
        <f>B3+B4</f>
        <v>10000</v>
      </c>
      <c r="C68" s="17">
        <f>B68-C66*$B$68</f>
        <v>8000</v>
      </c>
      <c r="D68" s="17">
        <f t="shared" ref="D68:H68" si="10">C68-D66*$B$68</f>
        <v>4800</v>
      </c>
      <c r="E68" s="17">
        <f t="shared" si="10"/>
        <v>2880</v>
      </c>
      <c r="F68" s="17">
        <f t="shared" si="10"/>
        <v>1728</v>
      </c>
      <c r="G68" s="17">
        <f t="shared" si="10"/>
        <v>576</v>
      </c>
      <c r="H68" s="17">
        <f t="shared" si="10"/>
        <v>0</v>
      </c>
    </row>
    <row r="69" spans="1:14" x14ac:dyDescent="0.35">
      <c r="A69" s="6"/>
      <c r="B69" s="6"/>
      <c r="C69" s="6"/>
      <c r="D69" s="6"/>
      <c r="E69" s="6"/>
      <c r="F69" s="6"/>
      <c r="G69" s="6"/>
      <c r="H69" s="6"/>
    </row>
    <row r="70" spans="1:14" x14ac:dyDescent="0.35">
      <c r="D70" t="s">
        <v>140</v>
      </c>
    </row>
    <row r="71" spans="1:14" x14ac:dyDescent="0.35">
      <c r="A71" s="60" t="s">
        <v>122</v>
      </c>
    </row>
    <row r="72" spans="1:14" x14ac:dyDescent="0.35">
      <c r="B72" s="204" t="s">
        <v>120</v>
      </c>
      <c r="C72" s="204"/>
      <c r="D72" s="204"/>
      <c r="E72" s="204"/>
      <c r="F72" s="204"/>
      <c r="G72" s="204"/>
      <c r="I72" s="204" t="s">
        <v>121</v>
      </c>
      <c r="J72" s="204"/>
      <c r="K72" s="204"/>
      <c r="L72" s="204"/>
      <c r="M72" s="204"/>
      <c r="N72" s="204"/>
    </row>
    <row r="73" spans="1:14" x14ac:dyDescent="0.35">
      <c r="C73" s="21" t="s">
        <v>24</v>
      </c>
      <c r="D73" s="21" t="s">
        <v>62</v>
      </c>
      <c r="E73" s="21" t="s">
        <v>109</v>
      </c>
      <c r="F73" s="21" t="s">
        <v>63</v>
      </c>
      <c r="G73" s="21" t="s">
        <v>64</v>
      </c>
      <c r="J73" s="21" t="s">
        <v>24</v>
      </c>
      <c r="K73" s="21" t="s">
        <v>62</v>
      </c>
      <c r="L73" s="21" t="s">
        <v>109</v>
      </c>
      <c r="M73" s="21" t="s">
        <v>63</v>
      </c>
      <c r="N73" s="21" t="s">
        <v>64</v>
      </c>
    </row>
    <row r="74" spans="1:14" x14ac:dyDescent="0.35">
      <c r="A74" s="57">
        <v>0</v>
      </c>
      <c r="B74" s="57">
        <v>15000</v>
      </c>
      <c r="C74" s="61">
        <f>$B$59</f>
        <v>5075.0191977301083</v>
      </c>
      <c r="D74" s="62">
        <f>$B$60</f>
        <v>0.26325251341756095</v>
      </c>
      <c r="E74" s="62">
        <f>$B$61</f>
        <v>0.21004705684162639</v>
      </c>
      <c r="F74" s="63">
        <f>$B$62</f>
        <v>2.7085346215780999</v>
      </c>
      <c r="G74" s="63">
        <f>$B$63</f>
        <v>3.2432106747536018</v>
      </c>
      <c r="I74" s="57">
        <v>0.6</v>
      </c>
      <c r="J74" s="61">
        <f>$B$59</f>
        <v>5075.0191977301083</v>
      </c>
      <c r="K74" s="62">
        <f>$B$60</f>
        <v>0.26325251341756095</v>
      </c>
      <c r="L74" s="62">
        <f>$B$61</f>
        <v>0.21004705684162639</v>
      </c>
      <c r="M74" s="63">
        <f>$B$62</f>
        <v>2.7085346215780999</v>
      </c>
      <c r="N74" s="63">
        <f>$B$63</f>
        <v>3.2432106747536018</v>
      </c>
    </row>
    <row r="75" spans="1:14" x14ac:dyDescent="0.35">
      <c r="A75" s="64">
        <v>-0.5</v>
      </c>
      <c r="B75" s="57">
        <f>$B$74*(1+$A75)</f>
        <v>7500</v>
      </c>
      <c r="C75" s="61">
        <f t="dataTable" ref="C75:G95" dt2D="0" dtr="0" r1="D8" ca="1"/>
        <v>-7218.6865498750531</v>
      </c>
      <c r="D75" s="62">
        <v>-9.5961471717051494E-2</v>
      </c>
      <c r="E75" s="62">
        <v>-6.5639504045138297E-2</v>
      </c>
      <c r="F75" s="63" t="e">
        <v>#REF!</v>
      </c>
      <c r="G75" s="63" t="e">
        <v>#REF!</v>
      </c>
      <c r="I75" s="57">
        <f>$I$74*(1+$A75)</f>
        <v>0.3</v>
      </c>
      <c r="J75" s="61">
        <f t="dataTable" ref="J75:N95" dt2D="0" dtr="0" r1="D10"/>
        <v>21476.705669512696</v>
      </c>
      <c r="K75" s="62">
        <v>0.69404266650692614</v>
      </c>
      <c r="L75" s="62">
        <v>0.41309654637547877</v>
      </c>
      <c r="M75" s="63">
        <v>1.3308823529411764</v>
      </c>
      <c r="N75" s="63">
        <v>1.5435294117647063</v>
      </c>
    </row>
    <row r="76" spans="1:14" x14ac:dyDescent="0.35">
      <c r="A76" s="64">
        <f>A75+5%</f>
        <v>-0.45</v>
      </c>
      <c r="B76" s="57">
        <f t="shared" ref="B76:B95" si="11">$B$74*(1+$A76)</f>
        <v>8250</v>
      </c>
      <c r="C76" s="61">
        <v>-5396.2769418992102</v>
      </c>
      <c r="D76" s="62">
        <v>-3.9345968113989382E-2</v>
      </c>
      <c r="E76" s="62">
        <v>-8.3518194126706025E-3</v>
      </c>
      <c r="F76" s="63" t="e">
        <v>#REF!</v>
      </c>
      <c r="G76" s="63" t="e">
        <v>#REF!</v>
      </c>
      <c r="I76" s="57">
        <f t="shared" ref="I76:I95" si="12">$I$74*(1+$A76)</f>
        <v>0.33</v>
      </c>
      <c r="J76" s="61">
        <v>19836.537022334436</v>
      </c>
      <c r="K76" s="62">
        <v>0.65237772606290267</v>
      </c>
      <c r="L76" s="62">
        <v>0.39647283193163063</v>
      </c>
      <c r="M76" s="63">
        <v>1.4003868471953578</v>
      </c>
      <c r="N76" s="63">
        <v>1.6304061895551261</v>
      </c>
    </row>
    <row r="77" spans="1:14" x14ac:dyDescent="0.35">
      <c r="A77" s="64">
        <f>A76+5%</f>
        <v>-0.4</v>
      </c>
      <c r="B77" s="57">
        <f t="shared" si="11"/>
        <v>9000</v>
      </c>
      <c r="C77" s="61">
        <v>-3728.675877238652</v>
      </c>
      <c r="D77" s="62">
        <v>1.0940955522472651E-2</v>
      </c>
      <c r="E77" s="62">
        <v>3.6555647759087595E-2</v>
      </c>
      <c r="F77" s="63">
        <v>3.9396984924623117</v>
      </c>
      <c r="G77" s="63" t="e">
        <v>#REF!</v>
      </c>
      <c r="I77" s="57">
        <f t="shared" si="12"/>
        <v>0.36</v>
      </c>
      <c r="J77" s="61">
        <v>18196.368375156177</v>
      </c>
      <c r="K77" s="62">
        <v>0.61047720439896547</v>
      </c>
      <c r="L77" s="62">
        <v>0.37923330488002205</v>
      </c>
      <c r="M77" s="63">
        <v>1.4775510204081632</v>
      </c>
      <c r="N77" s="63">
        <v>1.7268571428571431</v>
      </c>
    </row>
    <row r="78" spans="1:14" x14ac:dyDescent="0.35">
      <c r="A78" s="64">
        <f t="shared" ref="A78:A95" si="13">A77+5%</f>
        <v>-0.35000000000000003</v>
      </c>
      <c r="B78" s="57">
        <f t="shared" si="11"/>
        <v>9749.9999999999982</v>
      </c>
      <c r="C78" s="61">
        <v>-2592.7673365264527</v>
      </c>
      <c r="D78" s="62">
        <v>4.3938522483932374E-2</v>
      </c>
      <c r="E78" s="62">
        <v>6.4096681114716336E-2</v>
      </c>
      <c r="F78" s="63">
        <v>3.760956175298805</v>
      </c>
      <c r="G78" s="63" t="e">
        <v>#REF!</v>
      </c>
      <c r="I78" s="57">
        <f t="shared" si="12"/>
        <v>0.38999999999999996</v>
      </c>
      <c r="J78" s="61">
        <v>16556.199727977921</v>
      </c>
      <c r="K78" s="62">
        <v>0.56831792843166351</v>
      </c>
      <c r="L78" s="62">
        <v>0.36132195508128118</v>
      </c>
      <c r="M78" s="63">
        <v>1.5637149028077753</v>
      </c>
      <c r="N78" s="63">
        <v>1.8345572354211663</v>
      </c>
    </row>
    <row r="79" spans="1:14" x14ac:dyDescent="0.35">
      <c r="A79" s="64">
        <f t="shared" si="13"/>
        <v>-0.30000000000000004</v>
      </c>
      <c r="B79" s="57">
        <f t="shared" si="11"/>
        <v>10500</v>
      </c>
      <c r="C79" s="61">
        <v>-1485.6553909829245</v>
      </c>
      <c r="D79" s="62">
        <v>7.6579431798402542E-2</v>
      </c>
      <c r="E79" s="62">
        <v>8.9025480416644376E-2</v>
      </c>
      <c r="F79" s="63">
        <v>3.599618684461392</v>
      </c>
      <c r="G79" s="63" t="e">
        <v>#REF!</v>
      </c>
      <c r="I79" s="57">
        <f t="shared" si="12"/>
        <v>0.42</v>
      </c>
      <c r="J79" s="61">
        <v>14916.031080799663</v>
      </c>
      <c r="K79" s="62">
        <v>0.525873790925385</v>
      </c>
      <c r="L79" s="62">
        <v>0.3426743255486957</v>
      </c>
      <c r="M79" s="63">
        <v>1.6605504587155964</v>
      </c>
      <c r="N79" s="63">
        <v>1.9555963302752295</v>
      </c>
    </row>
    <row r="80" spans="1:14" x14ac:dyDescent="0.35">
      <c r="A80" s="64">
        <f t="shared" si="13"/>
        <v>-0.25000000000000006</v>
      </c>
      <c r="B80" s="57">
        <f t="shared" si="11"/>
        <v>11250</v>
      </c>
      <c r="C80" s="61">
        <v>-392.20962619741931</v>
      </c>
      <c r="D80" s="62">
        <v>0.10861235719537943</v>
      </c>
      <c r="E80" s="62">
        <v>0.11207202619574641</v>
      </c>
      <c r="F80" s="63">
        <v>3.4515539305301646</v>
      </c>
      <c r="G80" s="63" t="e">
        <v>#REF!</v>
      </c>
      <c r="I80" s="57">
        <f t="shared" si="12"/>
        <v>0.44999999999999996</v>
      </c>
      <c r="J80" s="61">
        <v>13275.862433621402</v>
      </c>
      <c r="K80" s="62">
        <v>0.48311527689215805</v>
      </c>
      <c r="L80" s="62">
        <v>0.32321567393072792</v>
      </c>
      <c r="M80" s="63">
        <v>1.7701711491442542</v>
      </c>
      <c r="N80" s="63">
        <v>2.1106562336984878</v>
      </c>
    </row>
    <row r="81" spans="1:14" x14ac:dyDescent="0.35">
      <c r="A81" s="64">
        <f t="shared" si="13"/>
        <v>-0.20000000000000007</v>
      </c>
      <c r="B81" s="57">
        <f t="shared" si="11"/>
        <v>11999.999999999998</v>
      </c>
      <c r="C81" s="61">
        <v>701.2361385880813</v>
      </c>
      <c r="D81" s="62">
        <v>0.14023343228820973</v>
      </c>
      <c r="E81" s="62">
        <v>0.13376873626173547</v>
      </c>
      <c r="F81" s="63">
        <v>3.3151887620719931</v>
      </c>
      <c r="G81" s="63">
        <v>3.8789059877085172</v>
      </c>
      <c r="I81" s="57">
        <f t="shared" si="12"/>
        <v>0.47999999999999993</v>
      </c>
      <c r="J81" s="61">
        <v>11635.693786443146</v>
      </c>
      <c r="K81" s="62">
        <v>0.44000889419261613</v>
      </c>
      <c r="L81" s="62">
        <v>0.30285859567063622</v>
      </c>
      <c r="M81" s="63">
        <v>1.8952879581151829</v>
      </c>
      <c r="N81" s="63">
        <v>2.2989180695847362</v>
      </c>
    </row>
    <row r="82" spans="1:14" x14ac:dyDescent="0.35">
      <c r="A82" s="64">
        <f t="shared" si="13"/>
        <v>-0.15000000000000008</v>
      </c>
      <c r="B82" s="57">
        <f t="shared" si="11"/>
        <v>12749.999999999998</v>
      </c>
      <c r="C82" s="61">
        <v>1794.6819033735919</v>
      </c>
      <c r="D82" s="62">
        <v>0.17147808681448407</v>
      </c>
      <c r="E82" s="62">
        <v>0.15428681451740189</v>
      </c>
      <c r="F82" s="63">
        <v>3.189189189189189</v>
      </c>
      <c r="G82" s="63">
        <v>3.7018616216216218</v>
      </c>
      <c r="I82" s="57">
        <f t="shared" si="12"/>
        <v>0.5099999999999999</v>
      </c>
      <c r="J82" s="61">
        <v>9995.5251392648915</v>
      </c>
      <c r="K82" s="62">
        <v>0.39651648459146438</v>
      </c>
      <c r="L82" s="62">
        <v>0.28149990541174574</v>
      </c>
      <c r="M82" s="63">
        <v>2.0425015179113535</v>
      </c>
      <c r="N82" s="63">
        <v>2.5180425015179111</v>
      </c>
    </row>
    <row r="83" spans="1:14" x14ac:dyDescent="0.35">
      <c r="A83" s="64">
        <f t="shared" si="13"/>
        <v>-0.10000000000000007</v>
      </c>
      <c r="B83" s="57">
        <f t="shared" si="11"/>
        <v>13499.999999999998</v>
      </c>
      <c r="C83" s="61">
        <v>2888.1276681590971</v>
      </c>
      <c r="D83" s="62">
        <v>0.2023778599893824</v>
      </c>
      <c r="E83" s="62">
        <v>0.17376563318224147</v>
      </c>
      <c r="F83" s="63">
        <v>3.0724165988608627</v>
      </c>
      <c r="G83" s="63">
        <v>3.5377822620016275</v>
      </c>
      <c r="I83" s="57">
        <f t="shared" si="12"/>
        <v>0.53999999999999992</v>
      </c>
      <c r="J83" s="61">
        <v>8355.3564920866265</v>
      </c>
      <c r="K83" s="62">
        <v>0.35259438460974324</v>
      </c>
      <c r="L83" s="62">
        <v>0.2590164765728622</v>
      </c>
      <c r="M83" s="63">
        <v>2.2248677248677247</v>
      </c>
      <c r="N83" s="63">
        <v>2.7762962962962967</v>
      </c>
    </row>
    <row r="84" spans="1:14" x14ac:dyDescent="0.35">
      <c r="A84" s="64">
        <f t="shared" si="13"/>
        <v>-5.0000000000000072E-2</v>
      </c>
      <c r="B84" s="57">
        <f t="shared" si="11"/>
        <v>14250</v>
      </c>
      <c r="C84" s="61">
        <v>3981.5734329446022</v>
      </c>
      <c r="D84" s="62">
        <v>0.23296092188887152</v>
      </c>
      <c r="E84" s="62">
        <v>0.19232029540870443</v>
      </c>
      <c r="F84" s="63">
        <v>2.9201388888888888</v>
      </c>
      <c r="G84" s="63">
        <v>3.3852940659340662</v>
      </c>
      <c r="I84" s="57">
        <f t="shared" si="12"/>
        <v>0.56999999999999995</v>
      </c>
      <c r="J84" s="61">
        <v>6715.187844908367</v>
      </c>
      <c r="K84" s="62">
        <v>0.30819239604459758</v>
      </c>
      <c r="L84" s="62">
        <v>0.23525958563534499</v>
      </c>
      <c r="M84" s="63">
        <v>2.4429920116194626</v>
      </c>
      <c r="N84" s="63">
        <v>3.0473784637576635</v>
      </c>
    </row>
    <row r="85" spans="1:14" x14ac:dyDescent="0.35">
      <c r="A85" s="64">
        <f t="shared" si="13"/>
        <v>-6.9388939039072284E-17</v>
      </c>
      <c r="B85" s="57">
        <f t="shared" si="11"/>
        <v>14999.999999999998</v>
      </c>
      <c r="C85" s="61">
        <v>5075.0191977301083</v>
      </c>
      <c r="D85" s="62">
        <v>0.26325251341756095</v>
      </c>
      <c r="E85" s="62">
        <v>0.21004705684162639</v>
      </c>
      <c r="F85" s="63">
        <v>2.7085346215780999</v>
      </c>
      <c r="G85" s="63">
        <v>3.2432106747536018</v>
      </c>
      <c r="I85" s="57">
        <f t="shared" si="12"/>
        <v>0.59999999999999987</v>
      </c>
      <c r="J85" s="61">
        <v>5075.0191977301147</v>
      </c>
      <c r="K85" s="62">
        <v>0.26325251341756095</v>
      </c>
      <c r="L85" s="62">
        <v>0.21004705684162661</v>
      </c>
      <c r="M85" s="63">
        <v>2.708534621578099</v>
      </c>
      <c r="N85" s="63">
        <v>3.2432106747536009</v>
      </c>
    </row>
    <row r="86" spans="1:14" x14ac:dyDescent="0.35">
      <c r="A86" s="64">
        <f t="shared" si="13"/>
        <v>4.9999999999999933E-2</v>
      </c>
      <c r="B86" s="57">
        <f t="shared" si="11"/>
        <v>15749.999999999998</v>
      </c>
      <c r="C86" s="61">
        <v>6168.4649625156162</v>
      </c>
      <c r="D86" s="62">
        <v>0.29327531904792936</v>
      </c>
      <c r="E86" s="62">
        <v>0.2270272988407096</v>
      </c>
      <c r="F86" s="63">
        <v>2.5255255255255253</v>
      </c>
      <c r="G86" s="63">
        <v>3.1105022873900294</v>
      </c>
      <c r="I86" s="57">
        <f t="shared" si="12"/>
        <v>0.62999999999999989</v>
      </c>
      <c r="J86" s="61">
        <v>3434.8505505518556</v>
      </c>
      <c r="K86" s="62">
        <v>0.21770733830549172</v>
      </c>
      <c r="L86" s="62">
        <v>0.18315207848323545</v>
      </c>
      <c r="M86" s="63">
        <v>3.0171793847383133</v>
      </c>
      <c r="N86" s="63">
        <v>3.4601674151018775</v>
      </c>
    </row>
    <row r="87" spans="1:14" x14ac:dyDescent="0.35">
      <c r="A87" s="64">
        <f t="shared" si="13"/>
        <v>9.9999999999999936E-2</v>
      </c>
      <c r="B87" s="57">
        <f t="shared" si="11"/>
        <v>16499.999999999996</v>
      </c>
      <c r="C87" s="61">
        <v>7261.9107273011132</v>
      </c>
      <c r="D87" s="62">
        <v>0.32304978391392436</v>
      </c>
      <c r="E87" s="62">
        <v>0.24333049692730424</v>
      </c>
      <c r="F87" s="63">
        <v>2.3656821378340371</v>
      </c>
      <c r="G87" s="63">
        <v>2.9757074542897346</v>
      </c>
      <c r="I87" s="57">
        <f t="shared" si="12"/>
        <v>0.65999999999999992</v>
      </c>
      <c r="J87" s="61">
        <v>1794.6819033735965</v>
      </c>
      <c r="K87" s="62">
        <v>0.17147808681448429</v>
      </c>
      <c r="L87" s="62">
        <v>0.15428681451740189</v>
      </c>
      <c r="M87" s="63">
        <v>3.1891891891891886</v>
      </c>
      <c r="N87" s="63">
        <v>3.7018616216216214</v>
      </c>
    </row>
    <row r="88" spans="1:14" x14ac:dyDescent="0.35">
      <c r="A88" s="64">
        <f>A87+5%</f>
        <v>0.14999999999999994</v>
      </c>
      <c r="B88" s="57">
        <f t="shared" si="11"/>
        <v>17250</v>
      </c>
      <c r="C88" s="61">
        <v>8355.3564920866265</v>
      </c>
      <c r="D88" s="62">
        <v>0.35259438460974324</v>
      </c>
      <c r="E88" s="62">
        <v>0.2590164765728622</v>
      </c>
      <c r="F88" s="63">
        <v>2.2248677248677247</v>
      </c>
      <c r="G88" s="63">
        <v>2.7762962962962972</v>
      </c>
      <c r="I88" s="57">
        <f t="shared" si="12"/>
        <v>0.69</v>
      </c>
      <c r="J88" s="61">
        <v>154.51325619533236</v>
      </c>
      <c r="K88" s="62">
        <v>0.12447206374853881</v>
      </c>
      <c r="L88" s="62">
        <v>0.12307755701743806</v>
      </c>
      <c r="M88" s="63">
        <v>3.3819973130317957</v>
      </c>
      <c r="N88" s="63">
        <v>3.9727799373040757</v>
      </c>
    </row>
    <row r="89" spans="1:14" x14ac:dyDescent="0.35">
      <c r="A89" s="64">
        <f t="shared" si="13"/>
        <v>0.19999999999999996</v>
      </c>
      <c r="B89" s="57">
        <f t="shared" si="11"/>
        <v>18000</v>
      </c>
      <c r="C89" s="61">
        <v>9448.8022568721317</v>
      </c>
      <c r="D89" s="62">
        <v>0.38192586137932305</v>
      </c>
      <c r="E89" s="62">
        <v>0.27413715352506096</v>
      </c>
      <c r="F89" s="63">
        <v>2.0998751560549311</v>
      </c>
      <c r="G89" s="63">
        <v>2.5992908863920103</v>
      </c>
      <c r="I89" s="57">
        <f t="shared" si="12"/>
        <v>0.72</v>
      </c>
      <c r="J89" s="61">
        <v>-1485.6553909829245</v>
      </c>
      <c r="K89" s="62">
        <v>7.6579431798402542E-2</v>
      </c>
      <c r="L89" s="62">
        <v>8.9025480416644376E-2</v>
      </c>
      <c r="M89" s="63">
        <v>3.599618684461392</v>
      </c>
      <c r="N89" s="63" t="e">
        <v>#REF!</v>
      </c>
    </row>
    <row r="90" spans="1:14" x14ac:dyDescent="0.35">
      <c r="A90" s="64">
        <f t="shared" si="13"/>
        <v>0.24999999999999994</v>
      </c>
      <c r="B90" s="57">
        <f t="shared" si="11"/>
        <v>18750</v>
      </c>
      <c r="C90" s="61">
        <v>10542.248021657637</v>
      </c>
      <c r="D90" s="62">
        <v>0.41105941795525247</v>
      </c>
      <c r="E90" s="62">
        <v>0.28873789474056233</v>
      </c>
      <c r="F90" s="63">
        <v>1.9890109890109891</v>
      </c>
      <c r="G90" s="63">
        <v>2.4411158392434995</v>
      </c>
      <c r="I90" s="57">
        <f t="shared" si="12"/>
        <v>0.75</v>
      </c>
      <c r="J90" s="61">
        <v>-3153.4004386193292</v>
      </c>
      <c r="K90" s="62">
        <v>2.746636977798822E-2</v>
      </c>
      <c r="L90" s="62">
        <v>5.07742354038343E-2</v>
      </c>
      <c r="M90" s="63">
        <v>3.8481012658227849</v>
      </c>
      <c r="N90" s="63" t="e">
        <v>#REF!</v>
      </c>
    </row>
    <row r="91" spans="1:14" x14ac:dyDescent="0.35">
      <c r="A91" s="64">
        <f t="shared" si="13"/>
        <v>0.29999999999999993</v>
      </c>
      <c r="B91" s="57">
        <f t="shared" si="11"/>
        <v>19499.999999999996</v>
      </c>
      <c r="C91" s="61">
        <v>11635.693786443137</v>
      </c>
      <c r="D91" s="62">
        <v>0.44000889419261613</v>
      </c>
      <c r="E91" s="62">
        <v>0.30285859567063622</v>
      </c>
      <c r="F91" s="63">
        <v>1.8952879581151838</v>
      </c>
      <c r="G91" s="63">
        <v>2.2989180695847375</v>
      </c>
      <c r="I91" s="57">
        <f t="shared" si="12"/>
        <v>0.77999999999999992</v>
      </c>
      <c r="J91" s="61">
        <v>-5396.2769418992002</v>
      </c>
      <c r="K91" s="62">
        <v>-3.9345968113988938E-2</v>
      </c>
      <c r="L91" s="62">
        <v>-8.3518194126702694E-3</v>
      </c>
      <c r="M91" s="63" t="e">
        <v>#REF!</v>
      </c>
      <c r="N91" s="63" t="e">
        <v>#REF!</v>
      </c>
    </row>
    <row r="92" spans="1:14" x14ac:dyDescent="0.35">
      <c r="A92" s="64">
        <f>A91+5%</f>
        <v>0.34999999999999992</v>
      </c>
      <c r="B92" s="57">
        <f t="shared" si="11"/>
        <v>20249.999999999996</v>
      </c>
      <c r="C92" s="61">
        <v>12729.139551228644</v>
      </c>
      <c r="D92" s="62">
        <v>0.46878691573543985</v>
      </c>
      <c r="E92" s="62">
        <v>0.31653454246807078</v>
      </c>
      <c r="F92" s="63">
        <v>1.8100000000000005</v>
      </c>
      <c r="G92" s="63">
        <v>2.1703931623931632</v>
      </c>
      <c r="I92" s="57">
        <f t="shared" si="12"/>
        <v>0.80999999999999994</v>
      </c>
      <c r="J92" s="61">
        <v>-8129.8913538629749</v>
      </c>
      <c r="K92" s="62">
        <v>-0.12493998080037649</v>
      </c>
      <c r="L92" s="62">
        <v>-9.8745287458458009E-2</v>
      </c>
      <c r="M92" s="63" t="e">
        <v>#REF!</v>
      </c>
      <c r="N92" s="63" t="e">
        <v>#REF!</v>
      </c>
    </row>
    <row r="93" spans="1:14" x14ac:dyDescent="0.35">
      <c r="A93" s="64">
        <f t="shared" si="13"/>
        <v>0.39999999999999991</v>
      </c>
      <c r="B93" s="57">
        <f t="shared" si="11"/>
        <v>21000</v>
      </c>
      <c r="C93" s="61">
        <v>13822.585316014156</v>
      </c>
      <c r="D93" s="62">
        <v>0.49740502421941835</v>
      </c>
      <c r="E93" s="62">
        <v>0.32979710900735992</v>
      </c>
      <c r="F93" s="63">
        <v>1.7320574162679425</v>
      </c>
      <c r="G93" s="63">
        <v>2.053659531090724</v>
      </c>
      <c r="I93" s="57">
        <f t="shared" si="12"/>
        <v>0.84</v>
      </c>
      <c r="J93" s="61">
        <v>-10863.50576582674</v>
      </c>
      <c r="K93" s="62">
        <v>-0.21507357518332748</v>
      </c>
      <c r="L93" s="62">
        <v>-0.208217178101755</v>
      </c>
      <c r="M93" s="63" t="e">
        <v>#REF!</v>
      </c>
      <c r="N93" s="63" t="e">
        <v>#REF!</v>
      </c>
    </row>
    <row r="94" spans="1:14" x14ac:dyDescent="0.35">
      <c r="A94" s="64">
        <f t="shared" si="13"/>
        <v>0.4499999999999999</v>
      </c>
      <c r="B94" s="57">
        <f t="shared" si="11"/>
        <v>21750</v>
      </c>
      <c r="C94" s="61">
        <v>14916.031080799663</v>
      </c>
      <c r="D94" s="62">
        <v>0.525873790925385</v>
      </c>
      <c r="E94" s="62">
        <v>0.3426743255486957</v>
      </c>
      <c r="F94" s="63">
        <v>1.6605504587155964</v>
      </c>
      <c r="G94" s="63">
        <v>1.9555963302752295</v>
      </c>
      <c r="I94" s="57">
        <f t="shared" si="12"/>
        <v>0.87</v>
      </c>
      <c r="J94" s="61">
        <v>-13597.120177790504</v>
      </c>
      <c r="K94" s="62">
        <v>-0.31116559487574402</v>
      </c>
      <c r="L94" s="62">
        <v>-0.26749667281792122</v>
      </c>
      <c r="M94" s="63" t="e">
        <v>#REF!</v>
      </c>
      <c r="N94" s="63" t="e">
        <v>#REF!</v>
      </c>
    </row>
    <row r="95" spans="1:14" x14ac:dyDescent="0.35">
      <c r="A95" s="64">
        <f t="shared" si="13"/>
        <v>0.49999999999999989</v>
      </c>
      <c r="B95" s="57">
        <f t="shared" si="11"/>
        <v>22500</v>
      </c>
      <c r="C95" s="61">
        <v>16009.476845585166</v>
      </c>
      <c r="D95" s="62">
        <v>0.55420291627416751</v>
      </c>
      <c r="E95" s="62">
        <v>0.35519134659482399</v>
      </c>
      <c r="F95" s="63">
        <v>1.5947136563876652</v>
      </c>
      <c r="G95" s="63">
        <v>1.8733039647577094</v>
      </c>
      <c r="I95" s="57">
        <f t="shared" si="12"/>
        <v>0.89999999999999991</v>
      </c>
      <c r="J95" s="61">
        <v>-16330.734589754258</v>
      </c>
      <c r="K95" s="62">
        <v>-0.41518777812268537</v>
      </c>
      <c r="L95" s="62">
        <v>-0.32553366681765294</v>
      </c>
      <c r="M95" s="63" t="e">
        <v>#REF!</v>
      </c>
      <c r="N95" s="63" t="e">
        <v>#REF!</v>
      </c>
    </row>
    <row r="115" spans="1:5" x14ac:dyDescent="0.35">
      <c r="A115" s="57"/>
      <c r="B115" s="61"/>
      <c r="C115" s="61"/>
      <c r="D115" s="61"/>
      <c r="E115" s="61"/>
    </row>
    <row r="116" spans="1:5" x14ac:dyDescent="0.35">
      <c r="A116" s="64"/>
    </row>
    <row r="117" spans="1:5" x14ac:dyDescent="0.35">
      <c r="A117" s="64"/>
    </row>
    <row r="118" spans="1:5" x14ac:dyDescent="0.35">
      <c r="A118" s="64"/>
    </row>
    <row r="119" spans="1:5" x14ac:dyDescent="0.35">
      <c r="A119" s="64"/>
    </row>
    <row r="120" spans="1:5" x14ac:dyDescent="0.35">
      <c r="A120" s="64"/>
    </row>
    <row r="121" spans="1:5" x14ac:dyDescent="0.35">
      <c r="A121" s="64"/>
    </row>
    <row r="122" spans="1:5" x14ac:dyDescent="0.35">
      <c r="A122" s="64"/>
    </row>
    <row r="123" spans="1:5" x14ac:dyDescent="0.35">
      <c r="A123" s="64"/>
    </row>
    <row r="124" spans="1:5" x14ac:dyDescent="0.35">
      <c r="A124" s="64"/>
    </row>
    <row r="125" spans="1:5" x14ac:dyDescent="0.35">
      <c r="A125" s="64"/>
    </row>
    <row r="126" spans="1:5" x14ac:dyDescent="0.35">
      <c r="A126" s="64"/>
    </row>
    <row r="127" spans="1:5" x14ac:dyDescent="0.35">
      <c r="A127" s="64"/>
    </row>
    <row r="128" spans="1:5" x14ac:dyDescent="0.35">
      <c r="A128" s="64"/>
    </row>
    <row r="129" spans="1:1" x14ac:dyDescent="0.35">
      <c r="A129" s="64"/>
    </row>
    <row r="130" spans="1:1" x14ac:dyDescent="0.35">
      <c r="A130" s="64"/>
    </row>
    <row r="131" spans="1:1" x14ac:dyDescent="0.35">
      <c r="A131" s="64"/>
    </row>
    <row r="132" spans="1:1" x14ac:dyDescent="0.35">
      <c r="A132" s="64"/>
    </row>
    <row r="133" spans="1:1" x14ac:dyDescent="0.35">
      <c r="A133" s="64"/>
    </row>
    <row r="134" spans="1:1" x14ac:dyDescent="0.35">
      <c r="A134" s="64"/>
    </row>
    <row r="135" spans="1:1" x14ac:dyDescent="0.35">
      <c r="A135" s="64"/>
    </row>
    <row r="136" spans="1:1" x14ac:dyDescent="0.35">
      <c r="A136" s="64"/>
    </row>
  </sheetData>
  <mergeCells count="2">
    <mergeCell ref="B72:G72"/>
    <mergeCell ref="I72:N72"/>
  </mergeCells>
  <conditionalFormatting sqref="E3:E13">
    <cfRule type="cellIs" dxfId="2" priority="1" operator="notEqual">
      <formula>0</formula>
    </cfRule>
  </conditionalFormatting>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50"/>
  <sheetViews>
    <sheetView topLeftCell="A15" zoomScaleNormal="100" workbookViewId="0">
      <selection activeCell="B55" sqref="B55"/>
    </sheetView>
  </sheetViews>
  <sheetFormatPr defaultRowHeight="14.5" outlineLevelRow="1" x14ac:dyDescent="0.35"/>
  <cols>
    <col min="1" max="1" width="29.36328125" customWidth="1"/>
    <col min="2" max="2" width="11.453125" bestFit="1" customWidth="1"/>
    <col min="3" max="3" width="10.54296875" customWidth="1"/>
    <col min="4" max="4" width="10.453125" bestFit="1" customWidth="1"/>
    <col min="5" max="5" width="11.1796875" customWidth="1"/>
    <col min="6" max="6" width="11.453125" bestFit="1" customWidth="1"/>
    <col min="8" max="8" width="9.453125" bestFit="1" customWidth="1"/>
    <col min="9" max="9" width="13" customWidth="1"/>
    <col min="10" max="12" width="11.54296875" customWidth="1"/>
    <col min="13" max="13" width="16.453125" customWidth="1"/>
    <col min="14" max="14" width="14.90625" customWidth="1"/>
  </cols>
  <sheetData>
    <row r="1" spans="1:8" x14ac:dyDescent="0.35">
      <c r="A1" s="6"/>
      <c r="B1" s="6"/>
      <c r="C1" s="6"/>
      <c r="D1" s="6"/>
      <c r="E1" s="6"/>
      <c r="F1" s="6"/>
      <c r="G1" s="6"/>
      <c r="H1" s="6"/>
    </row>
    <row r="2" spans="1:8" x14ac:dyDescent="0.35">
      <c r="A2" s="17" t="s">
        <v>41</v>
      </c>
      <c r="B2" s="17"/>
      <c r="C2" s="17"/>
      <c r="D2" s="55" t="s">
        <v>116</v>
      </c>
      <c r="E2" s="55" t="s">
        <v>117</v>
      </c>
      <c r="F2" s="6"/>
      <c r="G2" s="6"/>
      <c r="H2" s="6"/>
    </row>
    <row r="3" spans="1:8" x14ac:dyDescent="0.35">
      <c r="A3" s="17" t="s">
        <v>32</v>
      </c>
      <c r="B3" s="17">
        <f>D3*(100%+E3)</f>
        <v>9500</v>
      </c>
      <c r="C3" s="17"/>
      <c r="D3" s="2">
        <v>9500</v>
      </c>
      <c r="E3" s="49">
        <v>0</v>
      </c>
      <c r="F3" s="6"/>
      <c r="G3" s="6"/>
      <c r="H3" s="6"/>
    </row>
    <row r="4" spans="1:8" x14ac:dyDescent="0.35">
      <c r="A4" s="17" t="s">
        <v>33</v>
      </c>
      <c r="B4" s="17">
        <f t="shared" ref="B4:B5" si="0">D4*(100%+E4)</f>
        <v>500</v>
      </c>
      <c r="C4" s="17"/>
      <c r="D4" s="2">
        <v>500</v>
      </c>
      <c r="E4" s="49">
        <v>0</v>
      </c>
      <c r="F4" s="6"/>
      <c r="G4" s="6"/>
      <c r="H4" s="6"/>
    </row>
    <row r="5" spans="1:8" x14ac:dyDescent="0.35">
      <c r="A5" s="17" t="s">
        <v>52</v>
      </c>
      <c r="B5" s="17">
        <f t="shared" si="0"/>
        <v>2000</v>
      </c>
      <c r="C5" s="17"/>
      <c r="D5" s="2">
        <v>2000</v>
      </c>
      <c r="E5" s="49">
        <v>0</v>
      </c>
      <c r="F5" s="6"/>
      <c r="G5" s="6"/>
      <c r="H5" s="6"/>
    </row>
    <row r="6" spans="1:8" x14ac:dyDescent="0.35">
      <c r="A6" s="17"/>
      <c r="B6" s="17"/>
      <c r="C6" s="17"/>
      <c r="D6" s="2"/>
      <c r="E6" s="49"/>
      <c r="F6" s="6"/>
      <c r="G6" s="6"/>
      <c r="H6" s="6"/>
    </row>
    <row r="7" spans="1:8" x14ac:dyDescent="0.35">
      <c r="A7" s="17" t="s">
        <v>34</v>
      </c>
      <c r="B7" s="17">
        <f>D7*(100%+E7)</f>
        <v>4000</v>
      </c>
      <c r="C7" s="17"/>
      <c r="D7" s="2">
        <v>4000</v>
      </c>
      <c r="E7" s="49">
        <v>0</v>
      </c>
      <c r="F7" s="6"/>
      <c r="H7" s="6"/>
    </row>
    <row r="8" spans="1:8" x14ac:dyDescent="0.35">
      <c r="A8" s="17" t="s">
        <v>39</v>
      </c>
      <c r="B8" s="17">
        <f>D8*(100%+E8)</f>
        <v>15000</v>
      </c>
      <c r="C8" s="17"/>
      <c r="D8" s="2">
        <v>15000</v>
      </c>
      <c r="E8" s="49">
        <v>0</v>
      </c>
      <c r="F8" s="6"/>
      <c r="G8" s="6"/>
      <c r="H8" s="6"/>
    </row>
    <row r="9" spans="1:8" x14ac:dyDescent="0.35">
      <c r="A9" s="17" t="s">
        <v>40</v>
      </c>
      <c r="B9" s="17">
        <f>D9*(100%+E9)</f>
        <v>2</v>
      </c>
      <c r="C9" s="17"/>
      <c r="D9" s="2">
        <v>2</v>
      </c>
      <c r="E9" s="49">
        <v>0</v>
      </c>
      <c r="F9" s="6"/>
      <c r="G9" s="6"/>
      <c r="H9" s="6"/>
    </row>
    <row r="10" spans="1:8" x14ac:dyDescent="0.35">
      <c r="A10" s="17" t="s">
        <v>37</v>
      </c>
      <c r="B10" s="18">
        <f t="shared" ref="B10:B12" si="1">D10*(100%+E10)</f>
        <v>0.6</v>
      </c>
      <c r="C10" s="17" t="s">
        <v>42</v>
      </c>
      <c r="D10" s="49">
        <v>0.6</v>
      </c>
      <c r="E10" s="49">
        <v>0</v>
      </c>
      <c r="F10" s="6"/>
      <c r="G10" s="6"/>
      <c r="H10" s="6"/>
    </row>
    <row r="11" spans="1:8" x14ac:dyDescent="0.35">
      <c r="A11" s="17" t="s">
        <v>38</v>
      </c>
      <c r="B11" s="19">
        <f t="shared" si="1"/>
        <v>5000</v>
      </c>
      <c r="C11" s="17"/>
      <c r="D11" s="54">
        <v>5000</v>
      </c>
      <c r="E11" s="49">
        <v>0</v>
      </c>
      <c r="F11" s="6"/>
      <c r="G11" s="6"/>
      <c r="H11" s="6"/>
    </row>
    <row r="12" spans="1:8" x14ac:dyDescent="0.35">
      <c r="A12" s="17" t="s">
        <v>47</v>
      </c>
      <c r="B12" s="18">
        <f t="shared" si="1"/>
        <v>0.4</v>
      </c>
      <c r="C12" s="17"/>
      <c r="D12" s="49">
        <v>0.4</v>
      </c>
      <c r="E12" s="49">
        <v>0</v>
      </c>
      <c r="F12" s="6"/>
      <c r="G12" s="6"/>
      <c r="H12" s="6"/>
    </row>
    <row r="13" spans="1:8" x14ac:dyDescent="0.35">
      <c r="A13" s="35" t="s">
        <v>85</v>
      </c>
      <c r="B13" s="36">
        <v>0</v>
      </c>
      <c r="C13" s="17"/>
      <c r="D13" s="49">
        <v>0</v>
      </c>
      <c r="E13" s="49">
        <v>0</v>
      </c>
      <c r="F13" s="6"/>
      <c r="G13" s="6"/>
      <c r="H13" s="6"/>
    </row>
    <row r="14" spans="1:8" x14ac:dyDescent="0.35">
      <c r="A14" s="6" t="s">
        <v>86</v>
      </c>
      <c r="B14" s="35"/>
      <c r="D14" s="6"/>
      <c r="E14" s="6"/>
      <c r="F14" s="6"/>
      <c r="G14" s="6"/>
      <c r="H14" s="6"/>
    </row>
    <row r="15" spans="1:8" x14ac:dyDescent="0.35">
      <c r="A15" s="7" t="s">
        <v>158</v>
      </c>
      <c r="B15" s="6"/>
      <c r="C15" s="6"/>
      <c r="D15" s="6"/>
      <c r="E15" s="13"/>
      <c r="F15" s="6"/>
      <c r="G15" s="6"/>
      <c r="H15" s="6"/>
    </row>
    <row r="16" spans="1:8" x14ac:dyDescent="0.35">
      <c r="A16" s="87" t="s">
        <v>159</v>
      </c>
      <c r="B16" s="88">
        <v>0.5</v>
      </c>
      <c r="C16" s="6"/>
      <c r="D16" s="6" t="s">
        <v>144</v>
      </c>
      <c r="E16" s="13">
        <v>0.08</v>
      </c>
      <c r="F16" s="6"/>
      <c r="G16" s="6"/>
      <c r="H16" s="6"/>
    </row>
    <row r="17" spans="1:8" x14ac:dyDescent="0.35">
      <c r="A17" s="6" t="s">
        <v>143</v>
      </c>
      <c r="B17" s="6">
        <f>B16*(B3+B4)</f>
        <v>5000</v>
      </c>
      <c r="C17" s="6"/>
      <c r="D17" s="6" t="s">
        <v>149</v>
      </c>
      <c r="E17" s="86">
        <f>B18*B17</f>
        <v>1000</v>
      </c>
      <c r="F17" s="6"/>
      <c r="G17" s="6"/>
      <c r="H17" s="6"/>
    </row>
    <row r="18" spans="1:8" x14ac:dyDescent="0.35">
      <c r="A18" s="6" t="s">
        <v>148</v>
      </c>
      <c r="B18" s="13">
        <v>0.2</v>
      </c>
      <c r="C18" s="6"/>
      <c r="D18" s="6"/>
      <c r="E18" s="6"/>
      <c r="F18" s="6"/>
      <c r="G18" s="6"/>
      <c r="H18" s="6"/>
    </row>
    <row r="19" spans="1:8" x14ac:dyDescent="0.35">
      <c r="A19" s="6" t="s">
        <v>193</v>
      </c>
      <c r="B19" s="13">
        <f>1-B16</f>
        <v>0.5</v>
      </c>
      <c r="C19" s="6"/>
      <c r="D19" s="6" t="s">
        <v>145</v>
      </c>
      <c r="E19" s="13">
        <v>0.1</v>
      </c>
      <c r="F19" s="6"/>
      <c r="G19" s="6"/>
      <c r="H19" s="6"/>
    </row>
    <row r="20" spans="1:8" x14ac:dyDescent="0.35">
      <c r="A20" s="6" t="s">
        <v>142</v>
      </c>
      <c r="B20" s="6">
        <f>B19*(B3+B4)</f>
        <v>5000</v>
      </c>
      <c r="C20" s="6"/>
      <c r="D20" s="6" t="s">
        <v>151</v>
      </c>
      <c r="E20" s="6">
        <v>1.2</v>
      </c>
      <c r="F20" s="6"/>
      <c r="G20" s="6"/>
      <c r="H20" s="6"/>
    </row>
    <row r="21" spans="1:8" x14ac:dyDescent="0.35">
      <c r="A21" s="21" t="s">
        <v>133</v>
      </c>
      <c r="B21" s="26">
        <v>0.1</v>
      </c>
      <c r="C21" s="6"/>
      <c r="D21" s="6" t="s">
        <v>152</v>
      </c>
      <c r="E21" s="90">
        <f>B21+E20*(B22-B21)</f>
        <v>0.15999999999999998</v>
      </c>
      <c r="F21" s="6"/>
      <c r="G21" s="6"/>
      <c r="H21" s="6"/>
    </row>
    <row r="22" spans="1:8" x14ac:dyDescent="0.35">
      <c r="A22" s="25" t="s">
        <v>150</v>
      </c>
      <c r="B22" s="89">
        <v>0.15</v>
      </c>
      <c r="C22" s="6"/>
      <c r="D22" s="6"/>
      <c r="E22" s="6"/>
      <c r="F22" s="6"/>
      <c r="G22" s="6"/>
      <c r="H22" s="6"/>
    </row>
    <row r="23" spans="1:8" x14ac:dyDescent="0.35">
      <c r="A23" s="6"/>
      <c r="B23" s="6"/>
      <c r="C23" s="6"/>
      <c r="D23" s="6"/>
      <c r="E23" s="6"/>
      <c r="F23" s="6"/>
      <c r="G23" s="6"/>
      <c r="H23" s="6"/>
    </row>
    <row r="24" spans="1:8" x14ac:dyDescent="0.35">
      <c r="A24" s="5"/>
      <c r="B24" s="5">
        <v>0</v>
      </c>
      <c r="C24" s="5">
        <v>1</v>
      </c>
      <c r="D24" s="5">
        <v>2</v>
      </c>
      <c r="E24" s="5">
        <v>3</v>
      </c>
      <c r="F24" s="5">
        <v>4</v>
      </c>
      <c r="G24" s="6"/>
      <c r="H24" s="6"/>
    </row>
    <row r="25" spans="1:8" x14ac:dyDescent="0.35">
      <c r="A25" s="15" t="s">
        <v>31</v>
      </c>
      <c r="B25" s="6"/>
      <c r="C25" s="6"/>
      <c r="D25" s="6"/>
      <c r="E25" s="6"/>
      <c r="F25" s="6"/>
      <c r="G25" s="6"/>
      <c r="H25" s="6"/>
    </row>
    <row r="26" spans="1:8" x14ac:dyDescent="0.35">
      <c r="A26" s="6" t="s">
        <v>32</v>
      </c>
      <c r="B26" s="6">
        <f>-B3</f>
        <v>-9500</v>
      </c>
      <c r="C26" s="6"/>
      <c r="D26" s="6"/>
      <c r="E26" s="6"/>
      <c r="F26" s="6"/>
      <c r="G26" s="6"/>
      <c r="H26" s="6"/>
    </row>
    <row r="27" spans="1:8" x14ac:dyDescent="0.35">
      <c r="A27" s="6" t="s">
        <v>33</v>
      </c>
      <c r="B27" s="6">
        <f>-B4</f>
        <v>-500</v>
      </c>
      <c r="C27" s="6"/>
      <c r="D27" s="6"/>
      <c r="E27" s="6"/>
      <c r="F27" s="6"/>
      <c r="G27" s="6"/>
      <c r="H27" s="6"/>
    </row>
    <row r="28" spans="1:8" x14ac:dyDescent="0.35">
      <c r="A28" s="6" t="s">
        <v>34</v>
      </c>
      <c r="B28" s="6">
        <f>-B7</f>
        <v>-4000</v>
      </c>
      <c r="C28" s="6"/>
      <c r="D28" s="6"/>
      <c r="E28" s="6"/>
      <c r="F28" s="6"/>
      <c r="G28" s="6"/>
      <c r="H28" s="6"/>
    </row>
    <row r="29" spans="1:8" x14ac:dyDescent="0.35">
      <c r="A29" s="7" t="s">
        <v>35</v>
      </c>
      <c r="B29" s="6">
        <f>SUM(B26:B28)</f>
        <v>-14000</v>
      </c>
      <c r="C29" s="6"/>
      <c r="D29" s="6"/>
      <c r="E29" s="6"/>
      <c r="F29" s="6"/>
      <c r="G29" s="6"/>
      <c r="H29" s="6"/>
    </row>
    <row r="30" spans="1:8" ht="11.5" customHeight="1" x14ac:dyDescent="0.35">
      <c r="A30" s="6"/>
      <c r="B30" s="6"/>
      <c r="C30" s="6"/>
      <c r="D30" s="6"/>
      <c r="E30" s="6"/>
      <c r="F30" s="6"/>
      <c r="G30" s="6"/>
      <c r="H30" s="6"/>
    </row>
    <row r="31" spans="1:8" x14ac:dyDescent="0.35">
      <c r="A31" s="15" t="s">
        <v>59</v>
      </c>
      <c r="B31" s="6"/>
      <c r="C31" s="6"/>
      <c r="D31" s="6"/>
      <c r="E31" s="6"/>
      <c r="F31" s="6"/>
      <c r="G31" s="6"/>
      <c r="H31" s="6"/>
    </row>
    <row r="32" spans="1:8" x14ac:dyDescent="0.35">
      <c r="A32" s="35" t="s">
        <v>36</v>
      </c>
      <c r="B32" s="6"/>
      <c r="C32" s="32">
        <f>$B$8*$B$9*(1+$B$13)</f>
        <v>30000</v>
      </c>
      <c r="D32" s="32">
        <f>C32*(1+$B$13)</f>
        <v>30000</v>
      </c>
      <c r="E32" s="32">
        <f>D32*(1+$B$13)</f>
        <v>30000</v>
      </c>
      <c r="F32" s="32">
        <f>E32*(1+$B$13)</f>
        <v>30000</v>
      </c>
      <c r="G32" s="6"/>
      <c r="H32" s="6"/>
    </row>
    <row r="33" spans="1:8" x14ac:dyDescent="0.35">
      <c r="A33" s="37" t="s">
        <v>37</v>
      </c>
      <c r="B33" s="6"/>
      <c r="C33" s="32">
        <f>-C32*$B$10</f>
        <v>-18000</v>
      </c>
      <c r="D33" s="32">
        <f t="shared" ref="D33:F33" si="2">-D32*$B$10</f>
        <v>-18000</v>
      </c>
      <c r="E33" s="32">
        <f t="shared" si="2"/>
        <v>-18000</v>
      </c>
      <c r="F33" s="32">
        <f t="shared" si="2"/>
        <v>-18000</v>
      </c>
      <c r="G33" s="6"/>
      <c r="H33" s="6"/>
    </row>
    <row r="34" spans="1:8" x14ac:dyDescent="0.35">
      <c r="A34" s="38" t="s">
        <v>38</v>
      </c>
      <c r="B34" s="16"/>
      <c r="C34" s="33">
        <f>-B11*(1+$B$13)</f>
        <v>-5000</v>
      </c>
      <c r="D34" s="33">
        <f>C34*(1+$B$13)</f>
        <v>-5000</v>
      </c>
      <c r="E34" s="33">
        <f>D34*(1+$B$13)</f>
        <v>-5000</v>
      </c>
      <c r="F34" s="33">
        <f>E34*(1+$B$13)</f>
        <v>-5000</v>
      </c>
      <c r="G34" s="6"/>
      <c r="H34" s="6"/>
    </row>
    <row r="35" spans="1:8" x14ac:dyDescent="0.35">
      <c r="A35" s="7" t="s">
        <v>45</v>
      </c>
      <c r="B35" s="6"/>
      <c r="C35" s="34">
        <f>SUM(C32:C34)</f>
        <v>7000</v>
      </c>
      <c r="D35" s="34">
        <f>SUM(D32:D34)</f>
        <v>7000</v>
      </c>
      <c r="E35" s="34">
        <f>SUM(E32:E34)</f>
        <v>7000</v>
      </c>
      <c r="F35" s="34">
        <f>SUM(F32:F34)</f>
        <v>7000</v>
      </c>
      <c r="G35" s="6"/>
      <c r="H35" s="6"/>
    </row>
    <row r="36" spans="1:8" x14ac:dyDescent="0.35">
      <c r="A36" s="16" t="s">
        <v>43</v>
      </c>
      <c r="B36" s="16"/>
      <c r="C36" s="33">
        <f>($B$26+$B$27)*C80</f>
        <v>-2000</v>
      </c>
      <c r="D36" s="33">
        <f>($B$26+$B$27)*D80</f>
        <v>-3200</v>
      </c>
      <c r="E36" s="33">
        <f>($B$26+$B$27)*E80</f>
        <v>-1920</v>
      </c>
      <c r="F36" s="33">
        <f>($B$26+$B$27)*F80</f>
        <v>-1152</v>
      </c>
      <c r="G36" s="6"/>
      <c r="H36" s="6"/>
    </row>
    <row r="37" spans="1:8" x14ac:dyDescent="0.35">
      <c r="A37" s="7" t="s">
        <v>146</v>
      </c>
      <c r="B37" s="16"/>
      <c r="C37" s="34">
        <f>C35+C36</f>
        <v>5000</v>
      </c>
      <c r="D37" s="34">
        <f>D35+D36</f>
        <v>3800</v>
      </c>
      <c r="E37" s="34">
        <f>E35+E36</f>
        <v>5080</v>
      </c>
      <c r="F37" s="34">
        <f>F35+F36</f>
        <v>5848</v>
      </c>
      <c r="G37" s="6"/>
      <c r="H37" s="6"/>
    </row>
    <row r="38" spans="1:8" x14ac:dyDescent="0.35">
      <c r="A38" s="16" t="s">
        <v>147</v>
      </c>
      <c r="B38" s="16"/>
      <c r="C38" s="33">
        <f>IPMT($E$16,C24,$F$24,$B$17,$E$17)</f>
        <v>-400</v>
      </c>
      <c r="D38" s="33">
        <f>IPMT($E$16,D24,$F$24,$B$17,$E$17)</f>
        <v>-293.47801386206123</v>
      </c>
      <c r="E38" s="33">
        <f>IPMT($E$16,E24,$F$24,$B$17,$E$17)</f>
        <v>-178.4342688330872</v>
      </c>
      <c r="F38" s="33">
        <f>IPMT($E$16,F24,$F$24,$B$17,$E$17)</f>
        <v>-54.187024201795268</v>
      </c>
      <c r="G38" s="6"/>
      <c r="H38" s="6"/>
    </row>
    <row r="39" spans="1:8" x14ac:dyDescent="0.35">
      <c r="A39" s="7" t="s">
        <v>48</v>
      </c>
      <c r="B39" s="6"/>
      <c r="C39" s="34">
        <f>C37+C38</f>
        <v>4600</v>
      </c>
      <c r="D39" s="34">
        <f t="shared" ref="D39:F39" si="3">D37+D38</f>
        <v>3506.5219861379387</v>
      </c>
      <c r="E39" s="34">
        <f t="shared" si="3"/>
        <v>4901.5657311669129</v>
      </c>
      <c r="F39" s="34">
        <f t="shared" si="3"/>
        <v>5793.8129757982051</v>
      </c>
      <c r="G39" s="6"/>
      <c r="H39" s="6"/>
    </row>
    <row r="40" spans="1:8" x14ac:dyDescent="0.35">
      <c r="A40" s="8" t="s">
        <v>112</v>
      </c>
      <c r="B40" s="8"/>
      <c r="C40" s="52">
        <f>IF(B39+B40&lt;0,B39+B40,0)</f>
        <v>0</v>
      </c>
      <c r="D40" s="52">
        <f>IF(C39+C40&lt;0,C39+C40,0)</f>
        <v>0</v>
      </c>
      <c r="E40" s="52">
        <f t="shared" ref="E40" si="4">IF(D39+D40&lt;0,D39+D40,0)</f>
        <v>0</v>
      </c>
      <c r="F40" s="52">
        <f>IF(E39+E40&lt;0,E39+E40,0)</f>
        <v>0</v>
      </c>
      <c r="G40" s="6"/>
      <c r="H40" s="6"/>
    </row>
    <row r="41" spans="1:8" x14ac:dyDescent="0.35">
      <c r="A41" s="16" t="s">
        <v>46</v>
      </c>
      <c r="B41" s="16"/>
      <c r="C41" s="33">
        <f>IF(C39+C40&lt;0,0,-(C39+C40)*$B$12)</f>
        <v>-1840</v>
      </c>
      <c r="D41" s="33">
        <f t="shared" ref="D41:F41" si="5">IF(D39+D40&lt;0,0,-(D39+D40)*$B$12)</f>
        <v>-1402.6087944551755</v>
      </c>
      <c r="E41" s="33">
        <f t="shared" si="5"/>
        <v>-1960.6262924667653</v>
      </c>
      <c r="F41" s="33">
        <f t="shared" si="5"/>
        <v>-2317.525190319282</v>
      </c>
      <c r="G41" s="6"/>
      <c r="H41" s="6"/>
    </row>
    <row r="42" spans="1:8" x14ac:dyDescent="0.35">
      <c r="A42" s="7" t="s">
        <v>49</v>
      </c>
      <c r="B42" s="6"/>
      <c r="C42" s="34">
        <f>C39+C41</f>
        <v>2760</v>
      </c>
      <c r="D42" s="34">
        <f>D39+D41</f>
        <v>2103.9131916827632</v>
      </c>
      <c r="E42" s="34">
        <f>E39+E41</f>
        <v>2940.9394387001475</v>
      </c>
      <c r="F42" s="34">
        <f>F39+F41</f>
        <v>3476.2877854789231</v>
      </c>
      <c r="G42" s="6"/>
      <c r="H42" s="6"/>
    </row>
    <row r="43" spans="1:8" x14ac:dyDescent="0.35">
      <c r="A43" s="16" t="s">
        <v>55</v>
      </c>
      <c r="B43" s="16"/>
      <c r="C43" s="33">
        <f>-C36</f>
        <v>2000</v>
      </c>
      <c r="D43" s="33">
        <f>-D36</f>
        <v>3200</v>
      </c>
      <c r="E43" s="33">
        <f>-E36</f>
        <v>1920</v>
      </c>
      <c r="F43" s="33">
        <f>-F36</f>
        <v>1152</v>
      </c>
      <c r="G43" s="6"/>
      <c r="H43" s="6"/>
    </row>
    <row r="44" spans="1:8" x14ac:dyDescent="0.35">
      <c r="A44" s="7" t="s">
        <v>58</v>
      </c>
      <c r="B44" s="6"/>
      <c r="C44" s="34">
        <f>C42+C43</f>
        <v>4760</v>
      </c>
      <c r="D44" s="34">
        <f t="shared" ref="D44:F44" si="6">D42+D43</f>
        <v>5303.9131916827628</v>
      </c>
      <c r="E44" s="34">
        <f t="shared" si="6"/>
        <v>4860.9394387001475</v>
      </c>
      <c r="F44" s="34">
        <f t="shared" si="6"/>
        <v>4628.2877854789231</v>
      </c>
      <c r="G44" s="6"/>
      <c r="H44" s="6"/>
    </row>
    <row r="45" spans="1:8" ht="6.65" customHeight="1" x14ac:dyDescent="0.35">
      <c r="A45" s="6"/>
      <c r="B45" s="6"/>
      <c r="C45" s="6"/>
      <c r="D45" s="6"/>
      <c r="E45" s="6"/>
      <c r="F45" s="6"/>
      <c r="G45" s="6"/>
      <c r="H45" s="6"/>
    </row>
    <row r="46" spans="1:8" x14ac:dyDescent="0.35">
      <c r="A46" s="15" t="s">
        <v>51</v>
      </c>
      <c r="B46" s="6"/>
      <c r="C46" s="6"/>
      <c r="D46" s="6"/>
      <c r="E46" s="6"/>
      <c r="F46" s="6"/>
      <c r="G46" s="6"/>
      <c r="H46" s="6"/>
    </row>
    <row r="47" spans="1:8" x14ac:dyDescent="0.35">
      <c r="A47" s="6" t="s">
        <v>56</v>
      </c>
      <c r="B47" s="6"/>
      <c r="C47" s="6"/>
      <c r="D47" s="6"/>
      <c r="E47" s="6"/>
      <c r="F47" s="6">
        <f>B5</f>
        <v>2000</v>
      </c>
      <c r="G47" s="6"/>
      <c r="H47" s="6"/>
    </row>
    <row r="48" spans="1:8" x14ac:dyDescent="0.35">
      <c r="A48" s="8" t="s">
        <v>54</v>
      </c>
      <c r="B48" s="6"/>
      <c r="C48" s="6"/>
      <c r="D48" s="6"/>
      <c r="E48" s="6"/>
      <c r="F48" s="6">
        <f>-(B5-F82)*B12</f>
        <v>-108.80000000000001</v>
      </c>
      <c r="G48" s="6"/>
      <c r="H48" s="6"/>
    </row>
    <row r="49" spans="1:9" x14ac:dyDescent="0.35">
      <c r="A49" s="16" t="s">
        <v>57</v>
      </c>
      <c r="B49" s="16"/>
      <c r="C49" s="16"/>
      <c r="D49" s="16"/>
      <c r="E49" s="16"/>
      <c r="F49" s="16">
        <f>B7</f>
        <v>4000</v>
      </c>
      <c r="G49" s="6"/>
      <c r="H49" s="6"/>
    </row>
    <row r="50" spans="1:9" x14ac:dyDescent="0.35">
      <c r="A50" s="7" t="s">
        <v>60</v>
      </c>
      <c r="B50" s="6"/>
      <c r="C50" s="6"/>
      <c r="D50" s="6"/>
      <c r="E50" s="6"/>
      <c r="F50" s="7">
        <f>SUM(F47:F49)</f>
        <v>5891.2</v>
      </c>
      <c r="G50" s="6"/>
      <c r="H50" s="6"/>
    </row>
    <row r="51" spans="1:9" x14ac:dyDescent="0.35">
      <c r="A51" s="7"/>
      <c r="B51" s="6"/>
      <c r="C51" s="6"/>
      <c r="D51" s="6"/>
      <c r="E51" s="6"/>
      <c r="F51" s="7"/>
      <c r="G51" s="6"/>
      <c r="H51" s="6"/>
    </row>
    <row r="52" spans="1:9" x14ac:dyDescent="0.35">
      <c r="A52" s="7" t="s">
        <v>153</v>
      </c>
      <c r="C52" s="6"/>
      <c r="D52" s="6"/>
      <c r="E52" s="6"/>
      <c r="F52" s="7"/>
      <c r="G52" s="6"/>
      <c r="H52" s="6"/>
    </row>
    <row r="53" spans="1:9" x14ac:dyDescent="0.35">
      <c r="A53" s="7"/>
      <c r="B53" s="6"/>
      <c r="C53" s="6"/>
      <c r="D53" s="6"/>
      <c r="E53" s="6"/>
      <c r="F53" s="7"/>
      <c r="G53" s="6"/>
      <c r="H53" s="6"/>
    </row>
    <row r="54" spans="1:9" ht="9.15" customHeight="1" x14ac:dyDescent="0.35">
      <c r="A54" s="6"/>
      <c r="B54" s="6"/>
      <c r="C54" s="6"/>
      <c r="D54" s="6"/>
      <c r="E54" s="6"/>
      <c r="F54" s="6"/>
      <c r="G54" s="6"/>
      <c r="H54" s="6"/>
    </row>
    <row r="55" spans="1:9" x14ac:dyDescent="0.35">
      <c r="A55" s="27" t="s">
        <v>187</v>
      </c>
      <c r="B55" s="28">
        <f>B29+B71</f>
        <v>-14500</v>
      </c>
      <c r="C55" s="28">
        <f>C44</f>
        <v>4760</v>
      </c>
      <c r="D55" s="28">
        <f t="shared" ref="D55:E55" si="7">D44</f>
        <v>5303.9131916827628</v>
      </c>
      <c r="E55" s="28">
        <f t="shared" si="7"/>
        <v>4860.9394387001475</v>
      </c>
      <c r="F55" s="28">
        <f>F44+F50</f>
        <v>10519.487785478923</v>
      </c>
      <c r="G55" s="6"/>
      <c r="H55" s="6"/>
    </row>
    <row r="56" spans="1:9" outlineLevel="1" x14ac:dyDescent="0.35">
      <c r="A56" s="7" t="s">
        <v>29</v>
      </c>
      <c r="B56" s="9">
        <f>B55/(1+$E$64)^B24</f>
        <v>-14500</v>
      </c>
      <c r="C56" s="9">
        <f>C55/(1+$E$64)^C24</f>
        <v>4250</v>
      </c>
      <c r="D56" s="9">
        <f>D55/(1+$E$64)^D24</f>
        <v>4228.2471234715895</v>
      </c>
      <c r="E56" s="9">
        <f>E55/(1+$E$64)^E24</f>
        <v>3459.9206782839733</v>
      </c>
      <c r="F56" s="9">
        <f>F55/(1+$E$64)^F24</f>
        <v>6685.3246632306582</v>
      </c>
      <c r="G56" s="6"/>
      <c r="H56" s="6" t="s">
        <v>135</v>
      </c>
      <c r="I56" s="84">
        <f>SUM(B55:F55)</f>
        <v>10944.340415861832</v>
      </c>
    </row>
    <row r="57" spans="1:9" outlineLevel="1" x14ac:dyDescent="0.35">
      <c r="A57" s="6" t="s">
        <v>66</v>
      </c>
      <c r="B57" s="10">
        <f>B55</f>
        <v>-14500</v>
      </c>
      <c r="C57" s="10">
        <f t="shared" ref="C57:F58" si="8">B57+C55</f>
        <v>-9740</v>
      </c>
      <c r="D57" s="10">
        <f t="shared" si="8"/>
        <v>-4436.0868083172372</v>
      </c>
      <c r="E57" s="10">
        <f t="shared" si="8"/>
        <v>424.85263038291032</v>
      </c>
      <c r="F57" s="10">
        <f t="shared" si="8"/>
        <v>10944.340415861832</v>
      </c>
      <c r="G57" s="6"/>
      <c r="H57" s="6" t="s">
        <v>136</v>
      </c>
      <c r="I57" s="84">
        <f>SUM(B59:F59)</f>
        <v>9684.3172816326041</v>
      </c>
    </row>
    <row r="58" spans="1:9" outlineLevel="1" x14ac:dyDescent="0.35">
      <c r="A58" s="6" t="s">
        <v>67</v>
      </c>
      <c r="B58" s="10">
        <f>B56</f>
        <v>-14500</v>
      </c>
      <c r="C58" s="10">
        <f t="shared" si="8"/>
        <v>-10250</v>
      </c>
      <c r="D58" s="10">
        <f t="shared" si="8"/>
        <v>-6021.7528765284105</v>
      </c>
      <c r="E58" s="10">
        <f t="shared" si="8"/>
        <v>-2561.8321982444372</v>
      </c>
      <c r="F58" s="10">
        <f t="shared" si="8"/>
        <v>4123.4924649862205</v>
      </c>
      <c r="G58" s="6"/>
      <c r="H58" s="6" t="s">
        <v>29</v>
      </c>
      <c r="I58" s="61">
        <f>B64</f>
        <v>4123.4924649862205</v>
      </c>
    </row>
    <row r="59" spans="1:9" ht="15.65" customHeight="1" outlineLevel="1" x14ac:dyDescent="0.35">
      <c r="A59" s="58" t="s">
        <v>134</v>
      </c>
      <c r="B59" s="85">
        <f>B55*(1+$B$21)^B24/(1+$E$64)^B24</f>
        <v>-14500</v>
      </c>
      <c r="C59" s="85">
        <f>C55*(1+$B$21)^C24/(1+$E$64)^C24</f>
        <v>4675</v>
      </c>
      <c r="D59" s="85">
        <f>D55*(1+$B$21)^D24/(1+$E$64)^D24</f>
        <v>5116.1790194006244</v>
      </c>
      <c r="E59" s="85">
        <f>E55*(1+$B$21)^E24/(1+$E$64)^E24</f>
        <v>4605.1544227959703</v>
      </c>
      <c r="F59" s="85">
        <f>F55*(1+$B$21)^F24/(1+$E$64)^F24</f>
        <v>9787.9838394360086</v>
      </c>
      <c r="G59" s="6"/>
      <c r="H59" s="6" t="s">
        <v>137</v>
      </c>
      <c r="I59" s="61">
        <f>I56-I57</f>
        <v>1260.0231342292282</v>
      </c>
    </row>
    <row r="60" spans="1:9" outlineLevel="1" x14ac:dyDescent="0.35">
      <c r="A60" s="58" t="s">
        <v>137</v>
      </c>
      <c r="B60" s="85">
        <f>B55-B59</f>
        <v>0</v>
      </c>
      <c r="C60" s="85">
        <f t="shared" ref="C60:F60" si="9">C55-C59</f>
        <v>85</v>
      </c>
      <c r="D60" s="85">
        <f t="shared" si="9"/>
        <v>187.73417228213839</v>
      </c>
      <c r="E60" s="85">
        <f t="shared" si="9"/>
        <v>255.78501590417727</v>
      </c>
      <c r="F60" s="85">
        <f t="shared" si="9"/>
        <v>731.50394604291432</v>
      </c>
      <c r="G60" s="6"/>
      <c r="H60" s="6" t="s">
        <v>139</v>
      </c>
      <c r="I60" s="61">
        <f>I57-I58</f>
        <v>5560.8248166463836</v>
      </c>
    </row>
    <row r="61" spans="1:9" outlineLevel="1" x14ac:dyDescent="0.35">
      <c r="A61" s="58" t="s">
        <v>138</v>
      </c>
      <c r="B61" s="85">
        <f>B59-B56</f>
        <v>0</v>
      </c>
      <c r="C61" s="85">
        <f>C59-C56</f>
        <v>425</v>
      </c>
      <c r="D61" s="85">
        <f>D59-D56</f>
        <v>887.93189592903491</v>
      </c>
      <c r="E61" s="85">
        <f>E59-E56</f>
        <v>1145.233744511997</v>
      </c>
      <c r="F61" s="85">
        <f>F59-F56</f>
        <v>3102.6591762053504</v>
      </c>
      <c r="G61" s="6"/>
      <c r="H61" s="6"/>
      <c r="I61" s="61"/>
    </row>
    <row r="62" spans="1:9" outlineLevel="1" x14ac:dyDescent="0.35">
      <c r="A62" s="6"/>
      <c r="B62" s="10"/>
      <c r="C62" s="6"/>
      <c r="D62" s="10"/>
      <c r="E62" s="10"/>
      <c r="F62" s="10"/>
      <c r="G62" s="6"/>
      <c r="H62" s="6"/>
      <c r="I62" s="84"/>
    </row>
    <row r="63" spans="1:9" x14ac:dyDescent="0.35">
      <c r="A63" s="6"/>
      <c r="B63" s="6"/>
      <c r="C63" s="6"/>
      <c r="D63" s="6"/>
      <c r="E63" s="6"/>
      <c r="F63" s="6"/>
      <c r="G63" s="6"/>
      <c r="H63" s="6"/>
    </row>
    <row r="64" spans="1:9" x14ac:dyDescent="0.35">
      <c r="A64" s="21" t="s">
        <v>24</v>
      </c>
      <c r="B64" s="22">
        <f>SUM(B56:F56)</f>
        <v>4123.4924649862205</v>
      </c>
      <c r="C64" s="25"/>
      <c r="D64" s="21" t="s">
        <v>65</v>
      </c>
      <c r="E64" s="56">
        <f>F64*(100%+G64)</f>
        <v>0.12</v>
      </c>
      <c r="F64" s="49">
        <v>0.12</v>
      </c>
      <c r="G64" s="49">
        <v>0</v>
      </c>
      <c r="H64" s="6"/>
      <c r="I64" t="s">
        <v>199</v>
      </c>
    </row>
    <row r="65" spans="1:12" x14ac:dyDescent="0.35">
      <c r="A65" s="21" t="s">
        <v>62</v>
      </c>
      <c r="B65" s="23">
        <f>IRR(B55:F55)</f>
        <v>0.23279238592573592</v>
      </c>
      <c r="C65" s="25"/>
      <c r="D65" s="25"/>
      <c r="E65" s="25"/>
      <c r="F65" s="6"/>
      <c r="G65" s="6"/>
      <c r="H65" s="6"/>
    </row>
    <row r="66" spans="1:12" x14ac:dyDescent="0.35">
      <c r="A66" s="21" t="s">
        <v>109</v>
      </c>
      <c r="B66" s="23">
        <f>MIRR(B55:F55,E64,E64)</f>
        <v>0.19231581357801542</v>
      </c>
      <c r="C66" s="25"/>
      <c r="D66" s="25"/>
      <c r="E66" s="25"/>
      <c r="F66" s="6"/>
      <c r="G66" s="6"/>
      <c r="H66" s="6"/>
    </row>
    <row r="67" spans="1:12" x14ac:dyDescent="0.35">
      <c r="A67" s="21" t="s">
        <v>63</v>
      </c>
      <c r="B67" s="24">
        <f>MATCH(0,B57:F57)-1+-INDEX(B57:F57,1,MATCH(0,B57:F57))/INDEX(C55:F55,1,MATCH(0,B57:F57))</f>
        <v>2.9125986579876999</v>
      </c>
      <c r="C67" s="25"/>
      <c r="D67" s="25"/>
      <c r="E67" s="25"/>
      <c r="F67" s="6"/>
      <c r="G67" s="6"/>
      <c r="H67" s="6"/>
    </row>
    <row r="68" spans="1:12" x14ac:dyDescent="0.35">
      <c r="A68" s="21" t="s">
        <v>64</v>
      </c>
      <c r="B68" s="24">
        <f>MATCH(0,B58:F58)-1+-INDEX(B58:F58,1,MATCH(0,B58:F58))/INDEX(C56:F56,1,MATCH(0,B58:F58))</f>
        <v>3.3832023614850804</v>
      </c>
      <c r="C68" s="25"/>
      <c r="D68" s="25"/>
      <c r="E68" s="25"/>
      <c r="F68" s="6"/>
      <c r="G68" s="6"/>
      <c r="H68" s="6"/>
    </row>
    <row r="69" spans="1:12" x14ac:dyDescent="0.35">
      <c r="A69" s="21"/>
      <c r="B69" s="24"/>
      <c r="C69" s="25"/>
      <c r="D69" s="25"/>
      <c r="E69" s="25"/>
      <c r="F69" s="6"/>
      <c r="G69" s="6"/>
      <c r="H69" s="6"/>
    </row>
    <row r="70" spans="1:12" x14ac:dyDescent="0.35">
      <c r="A70" s="92"/>
      <c r="B70" s="93"/>
      <c r="C70" s="87"/>
      <c r="D70" s="87"/>
      <c r="E70" s="87"/>
      <c r="F70" s="87"/>
      <c r="G70" s="6"/>
      <c r="H70" s="6"/>
    </row>
    <row r="71" spans="1:12" ht="15" thickBot="1" x14ac:dyDescent="0.4">
      <c r="A71" s="87" t="s">
        <v>190</v>
      </c>
      <c r="B71" s="94">
        <f>-B20*E19</f>
        <v>-500</v>
      </c>
      <c r="C71" s="94">
        <f>PPMT($E$16,C24,$F$24,-$B$17,$E$17)</f>
        <v>887.68321781615725</v>
      </c>
      <c r="D71" s="94">
        <f>PPMT($E$16,D24,$F$24,-$B$17,$E$17)</f>
        <v>958.69787524144999</v>
      </c>
      <c r="E71" s="94">
        <f>PPMT($E$16,E24,$F$24,-$B$17,$E$17)</f>
        <v>1035.393705260766</v>
      </c>
      <c r="F71" s="94">
        <f>PPMT($E$16,F24,$F$24,-$B$17,$E$17)+E17</f>
        <v>2118.2252016816274</v>
      </c>
      <c r="G71" s="6"/>
      <c r="H71" s="6" t="s">
        <v>154</v>
      </c>
    </row>
    <row r="72" spans="1:12" ht="15" thickBot="1" x14ac:dyDescent="0.4">
      <c r="A72" s="96" t="s">
        <v>157</v>
      </c>
      <c r="B72" s="97">
        <f>B55+B71</f>
        <v>-15000</v>
      </c>
      <c r="C72" s="98">
        <f>C55-C71</f>
        <v>3872.3167821838429</v>
      </c>
      <c r="D72" s="98">
        <f t="shared" ref="D72:E72" si="10">D55-D71</f>
        <v>4345.215316441313</v>
      </c>
      <c r="E72" s="98">
        <f t="shared" si="10"/>
        <v>3825.5457334393814</v>
      </c>
      <c r="F72" s="99">
        <f>F55-F71</f>
        <v>8401.2625837972955</v>
      </c>
      <c r="G72" s="6"/>
      <c r="H72" s="6" t="s">
        <v>155</v>
      </c>
    </row>
    <row r="73" spans="1:12" x14ac:dyDescent="0.35">
      <c r="A73" s="92"/>
      <c r="B73" s="102"/>
    </row>
    <row r="74" spans="1:12" x14ac:dyDescent="0.35">
      <c r="A74" s="87" t="s">
        <v>165</v>
      </c>
      <c r="B74" s="102"/>
      <c r="C74" s="104">
        <f>-C43</f>
        <v>-2000</v>
      </c>
      <c r="D74" s="104">
        <f t="shared" ref="D74:F74" si="11">-D43</f>
        <v>-3200</v>
      </c>
      <c r="E74" s="104">
        <f t="shared" si="11"/>
        <v>-1920</v>
      </c>
      <c r="F74" s="104">
        <f t="shared" si="11"/>
        <v>-1152</v>
      </c>
      <c r="G74" s="6"/>
      <c r="H74" s="6"/>
    </row>
    <row r="75" spans="1:12" x14ac:dyDescent="0.35">
      <c r="A75" s="87" t="s">
        <v>189</v>
      </c>
      <c r="B75" s="112">
        <f>-B20</f>
        <v>-5000</v>
      </c>
      <c r="C75" s="95">
        <f>C72+C74</f>
        <v>1872.3167821838429</v>
      </c>
      <c r="D75" s="95">
        <f t="shared" ref="D75:F75" si="12">D72+D74</f>
        <v>1145.215316441313</v>
      </c>
      <c r="E75" s="95">
        <f t="shared" si="12"/>
        <v>1905.5457334393814</v>
      </c>
      <c r="F75" s="95">
        <f t="shared" si="12"/>
        <v>7249.2625837972955</v>
      </c>
      <c r="G75" s="6"/>
      <c r="H75" t="s">
        <v>163</v>
      </c>
      <c r="K75" s="6"/>
      <c r="L75" s="6"/>
    </row>
    <row r="76" spans="1:12" x14ac:dyDescent="0.35">
      <c r="A76" s="103" t="s">
        <v>161</v>
      </c>
      <c r="C76" s="101">
        <f>-C75/$B$75</f>
        <v>0.37446335643676859</v>
      </c>
      <c r="D76" s="101">
        <f t="shared" ref="D76" si="13">-D75/$B$75</f>
        <v>0.2290430632882626</v>
      </c>
      <c r="E76" s="101">
        <f>-E75/$B$75</f>
        <v>0.38110914668787627</v>
      </c>
      <c r="F76" s="101">
        <f>-F75/$B$75</f>
        <v>1.4498525167594591</v>
      </c>
      <c r="G76" s="6"/>
      <c r="H76" s="6" t="s">
        <v>167</v>
      </c>
    </row>
    <row r="77" spans="1:12" x14ac:dyDescent="0.35">
      <c r="A77" s="103" t="s">
        <v>166</v>
      </c>
      <c r="B77" s="100">
        <f>IRR(B75:F75)</f>
        <v>0.34728122973104392</v>
      </c>
      <c r="D77" t="s">
        <v>160</v>
      </c>
      <c r="G77" s="6"/>
      <c r="H77" s="6" t="s">
        <v>164</v>
      </c>
    </row>
    <row r="78" spans="1:12" x14ac:dyDescent="0.35">
      <c r="A78" s="6"/>
      <c r="B78" s="6"/>
      <c r="C78" s="6"/>
      <c r="D78" s="6"/>
      <c r="E78" s="6"/>
      <c r="F78" s="6"/>
      <c r="G78" s="6"/>
      <c r="H78" s="6"/>
    </row>
    <row r="79" spans="1:12" x14ac:dyDescent="0.35">
      <c r="A79" s="17" t="s">
        <v>50</v>
      </c>
      <c r="B79" s="17"/>
      <c r="C79" s="17"/>
      <c r="D79" s="17"/>
      <c r="E79" s="17"/>
      <c r="F79" s="17"/>
      <c r="G79" s="17"/>
      <c r="H79" s="17"/>
    </row>
    <row r="80" spans="1:12" x14ac:dyDescent="0.35">
      <c r="A80" s="17" t="s">
        <v>44</v>
      </c>
      <c r="B80" s="17"/>
      <c r="C80" s="18">
        <v>0.2</v>
      </c>
      <c r="D80" s="18">
        <v>0.32</v>
      </c>
      <c r="E80" s="20">
        <v>0.192</v>
      </c>
      <c r="F80" s="20">
        <v>0.1152</v>
      </c>
      <c r="G80" s="20">
        <v>0.1152</v>
      </c>
      <c r="H80" s="20">
        <v>5.7599999999999998E-2</v>
      </c>
    </row>
    <row r="81" spans="1:14" x14ac:dyDescent="0.35">
      <c r="A81" s="17"/>
      <c r="B81" s="17"/>
      <c r="C81" s="17"/>
      <c r="D81" s="17"/>
      <c r="E81" s="17"/>
      <c r="F81" s="17"/>
      <c r="G81" s="17"/>
      <c r="H81" s="17"/>
    </row>
    <row r="82" spans="1:14" x14ac:dyDescent="0.35">
      <c r="A82" s="17" t="s">
        <v>53</v>
      </c>
      <c r="B82" s="17">
        <f>B3+B4</f>
        <v>10000</v>
      </c>
      <c r="C82" s="17">
        <f>B82-C80*$B$82</f>
        <v>8000</v>
      </c>
      <c r="D82" s="17">
        <f t="shared" ref="D82:H82" si="14">C82-D80*$B$82</f>
        <v>4800</v>
      </c>
      <c r="E82" s="17">
        <f t="shared" si="14"/>
        <v>2880</v>
      </c>
      <c r="F82" s="17">
        <f t="shared" si="14"/>
        <v>1728</v>
      </c>
      <c r="G82" s="17">
        <f t="shared" si="14"/>
        <v>576</v>
      </c>
      <c r="H82" s="17">
        <f t="shared" si="14"/>
        <v>0</v>
      </c>
    </row>
    <row r="83" spans="1:14" x14ac:dyDescent="0.35">
      <c r="A83" s="6"/>
      <c r="B83" s="6"/>
      <c r="C83" s="6"/>
      <c r="D83" s="6"/>
      <c r="E83" s="6"/>
      <c r="F83" s="6"/>
      <c r="G83" s="6"/>
      <c r="H83" s="6"/>
    </row>
    <row r="84" spans="1:14" x14ac:dyDescent="0.35">
      <c r="D84" t="s">
        <v>140</v>
      </c>
    </row>
    <row r="85" spans="1:14" x14ac:dyDescent="0.35">
      <c r="A85" s="60" t="s">
        <v>122</v>
      </c>
    </row>
    <row r="86" spans="1:14" x14ac:dyDescent="0.35">
      <c r="B86" s="204" t="s">
        <v>120</v>
      </c>
      <c r="C86" s="204"/>
      <c r="D86" s="204"/>
      <c r="E86" s="204"/>
      <c r="F86" s="204"/>
      <c r="G86" s="204"/>
      <c r="I86" s="204" t="s">
        <v>121</v>
      </c>
      <c r="J86" s="204"/>
      <c r="K86" s="204"/>
      <c r="L86" s="204"/>
      <c r="M86" s="204"/>
      <c r="N86" s="204"/>
    </row>
    <row r="87" spans="1:14" x14ac:dyDescent="0.35">
      <c r="C87" s="21" t="s">
        <v>24</v>
      </c>
      <c r="D87" s="21" t="s">
        <v>62</v>
      </c>
      <c r="E87" s="21" t="s">
        <v>109</v>
      </c>
      <c r="F87" s="21" t="s">
        <v>63</v>
      </c>
      <c r="G87" s="21" t="s">
        <v>64</v>
      </c>
      <c r="J87" s="21" t="s">
        <v>24</v>
      </c>
      <c r="K87" s="21" t="s">
        <v>62</v>
      </c>
      <c r="L87" s="21" t="s">
        <v>109</v>
      </c>
      <c r="M87" s="21" t="s">
        <v>63</v>
      </c>
      <c r="N87" s="21" t="s">
        <v>64</v>
      </c>
    </row>
    <row r="88" spans="1:14" x14ac:dyDescent="0.35">
      <c r="A88" s="57">
        <v>0</v>
      </c>
      <c r="B88" s="57">
        <v>15000</v>
      </c>
      <c r="C88" s="61">
        <f>$B$64</f>
        <v>4123.4924649862205</v>
      </c>
      <c r="D88" s="62">
        <f>$B$65</f>
        <v>0.23279238592573592</v>
      </c>
      <c r="E88" s="62">
        <f>$B$66</f>
        <v>0.19231581357801542</v>
      </c>
      <c r="F88" s="63">
        <f>$B$67</f>
        <v>2.9125986579876999</v>
      </c>
      <c r="G88" s="63">
        <f>$B$68</f>
        <v>3.3832023614850804</v>
      </c>
      <c r="I88" s="57">
        <v>0.6</v>
      </c>
      <c r="J88" s="61">
        <f>$B$64</f>
        <v>4123.4924649862205</v>
      </c>
      <c r="K88" s="62">
        <f>$B$65</f>
        <v>0.23279238592573592</v>
      </c>
      <c r="L88" s="62">
        <f>$B$66</f>
        <v>0.19231581357801542</v>
      </c>
      <c r="M88" s="63">
        <f>$B$67</f>
        <v>2.9125986579876999</v>
      </c>
      <c r="N88" s="63">
        <f>$B$68</f>
        <v>3.3832023614850804</v>
      </c>
    </row>
    <row r="89" spans="1:14" x14ac:dyDescent="0.35">
      <c r="A89" s="64">
        <v>-0.5</v>
      </c>
      <c r="B89" s="57">
        <f>$B$88*(1+$A89)</f>
        <v>7500</v>
      </c>
      <c r="C89" s="61">
        <f t="dataTable" ref="C89:G109" dt2D="0" dtr="0" r1="D8" ca="1"/>
        <v>-8471.2311044481994</v>
      </c>
      <c r="D89" s="62">
        <v>-0.12502447295129138</v>
      </c>
      <c r="E89" s="62">
        <v>-0.10064080102553119</v>
      </c>
      <c r="F89" s="63" t="e">
        <v>#REF!</v>
      </c>
      <c r="G89" s="63" t="e">
        <v>#REF!</v>
      </c>
      <c r="I89" s="57">
        <f>$I$88*(1+$A89)</f>
        <v>0.3</v>
      </c>
      <c r="J89" s="61">
        <f t="dataTable" ref="J89:N109" dt2D="0" dtr="0" r1="D10"/>
        <v>20525.178936768811</v>
      </c>
      <c r="K89" s="62">
        <v>0.65119028985991023</v>
      </c>
      <c r="L89" s="62">
        <v>0.39627548432100723</v>
      </c>
      <c r="M89" s="63">
        <v>1.4054591925663504</v>
      </c>
      <c r="N89" s="63">
        <v>1.6361785524653965</v>
      </c>
    </row>
    <row r="90" spans="1:14" x14ac:dyDescent="0.35">
      <c r="A90" s="64">
        <f>A89+5%</f>
        <v>-0.45</v>
      </c>
      <c r="B90" s="57">
        <f>$B$88*(1+$A90)</f>
        <v>8250</v>
      </c>
      <c r="C90" s="61">
        <v>-6648.8214964723566</v>
      </c>
      <c r="D90" s="62">
        <v>-6.9809721064911567E-2</v>
      </c>
      <c r="E90" s="62">
        <v>-3.9251455940007673E-2</v>
      </c>
      <c r="F90" s="63" t="e">
        <v>#REF!</v>
      </c>
      <c r="G90" s="63" t="e">
        <v>#REF!</v>
      </c>
      <c r="I90" s="57">
        <f t="shared" ref="I90:I109" si="15">$I$88*(1+$A90)</f>
        <v>0.33</v>
      </c>
      <c r="J90" s="61">
        <v>18885.010289590551</v>
      </c>
      <c r="K90" s="62">
        <v>0.61078284813795958</v>
      </c>
      <c r="L90" s="62">
        <v>0.37963403825567577</v>
      </c>
      <c r="M90" s="63">
        <v>1.4801300353483295</v>
      </c>
      <c r="N90" s="63">
        <v>1.7294828143620196</v>
      </c>
    </row>
    <row r="91" spans="1:14" x14ac:dyDescent="0.35">
      <c r="A91" s="64">
        <f>A90+5%</f>
        <v>-0.4</v>
      </c>
      <c r="B91" s="57">
        <f>$B$88*(1+$A91)</f>
        <v>9000</v>
      </c>
      <c r="C91" s="61">
        <v>-4826.4118884965137</v>
      </c>
      <c r="D91" s="62">
        <v>-1.6154258238225694E-2</v>
      </c>
      <c r="E91" s="62">
        <v>1.221535246997929E-2</v>
      </c>
      <c r="F91" s="63" t="e">
        <v>#REF!</v>
      </c>
      <c r="G91" s="63" t="e">
        <v>#REF!</v>
      </c>
      <c r="I91" s="57">
        <f t="shared" si="15"/>
        <v>0.36</v>
      </c>
      <c r="J91" s="61">
        <v>17244.841642412292</v>
      </c>
      <c r="K91" s="62">
        <v>0.57013618551837819</v>
      </c>
      <c r="L91" s="62">
        <v>0.36236762108226217</v>
      </c>
      <c r="M91" s="63">
        <v>1.5631804747245752</v>
      </c>
      <c r="N91" s="63">
        <v>1.8332577237843752</v>
      </c>
    </row>
    <row r="92" spans="1:14" x14ac:dyDescent="0.35">
      <c r="A92" s="64">
        <f t="shared" ref="A92:A109" si="16">A91+5%</f>
        <v>-0.35000000000000003</v>
      </c>
      <c r="B92" s="57">
        <f t="shared" ref="B92:B109" si="17">$B$88*(1+$A92)</f>
        <v>9749.9999999999982</v>
      </c>
      <c r="C92" s="61">
        <v>-3554.3208782351976</v>
      </c>
      <c r="D92" s="62">
        <v>1.9140456237790815E-2</v>
      </c>
      <c r="E92" s="62">
        <v>4.3966830453170624E-2</v>
      </c>
      <c r="F92" s="63">
        <v>3.8919505299538271</v>
      </c>
      <c r="G92" s="63" t="e">
        <v>#REF!</v>
      </c>
      <c r="I92" s="57">
        <f t="shared" si="15"/>
        <v>0.38999999999999996</v>
      </c>
      <c r="J92" s="61">
        <v>15604.672995234032</v>
      </c>
      <c r="K92" s="62">
        <v>0.52922697142426789</v>
      </c>
      <c r="L92" s="62">
        <v>0.34441856395367698</v>
      </c>
      <c r="M92" s="63">
        <v>1.6561049048175605</v>
      </c>
      <c r="N92" s="63">
        <v>1.9493705871051414</v>
      </c>
    </row>
    <row r="93" spans="1:14" x14ac:dyDescent="0.35">
      <c r="A93" s="64">
        <f t="shared" si="16"/>
        <v>-0.30000000000000004</v>
      </c>
      <c r="B93" s="57">
        <f t="shared" si="17"/>
        <v>10500</v>
      </c>
      <c r="C93" s="61">
        <v>-2440.3758423126637</v>
      </c>
      <c r="D93" s="62">
        <v>5.0904826480851817E-2</v>
      </c>
      <c r="E93" s="62">
        <v>6.9570621438665547E-2</v>
      </c>
      <c r="F93" s="63">
        <v>3.7243443049387963</v>
      </c>
      <c r="G93" s="63" t="e">
        <v>#REF!</v>
      </c>
      <c r="I93" s="57">
        <f t="shared" si="15"/>
        <v>0.42</v>
      </c>
      <c r="J93" s="61">
        <v>13964.504348055774</v>
      </c>
      <c r="K93" s="62">
        <v>0.48802893906809253</v>
      </c>
      <c r="L93" s="62">
        <v>0.32572036757557776</v>
      </c>
      <c r="M93" s="63">
        <v>1.7607755198551818</v>
      </c>
      <c r="N93" s="63">
        <v>2.0946894161004108</v>
      </c>
    </row>
    <row r="94" spans="1:14" x14ac:dyDescent="0.35">
      <c r="A94" s="64">
        <f t="shared" si="16"/>
        <v>-0.25000000000000006</v>
      </c>
      <c r="B94" s="57">
        <f t="shared" si="17"/>
        <v>11250</v>
      </c>
      <c r="C94" s="61">
        <v>-1343.7363589413089</v>
      </c>
      <c r="D94" s="62">
        <v>8.2179569318288292E-2</v>
      </c>
      <c r="E94" s="62">
        <v>9.309816202578225E-2</v>
      </c>
      <c r="F94" s="63">
        <v>3.5705779389819776</v>
      </c>
      <c r="G94" s="63" t="e">
        <v>#REF!</v>
      </c>
      <c r="I94" s="57">
        <f t="shared" si="15"/>
        <v>0.44999999999999996</v>
      </c>
      <c r="J94" s="61">
        <v>12324.335700877513</v>
      </c>
      <c r="K94" s="62">
        <v>0.44651241301530531</v>
      </c>
      <c r="L94" s="62">
        <v>0.30619574894184121</v>
      </c>
      <c r="M94" s="63">
        <v>1.8795697593666545</v>
      </c>
      <c r="N94" s="63">
        <v>2.2710310328404915</v>
      </c>
    </row>
    <row r="95" spans="1:14" x14ac:dyDescent="0.35">
      <c r="A95" s="64">
        <f t="shared" si="16"/>
        <v>-0.20000000000000007</v>
      </c>
      <c r="B95" s="57">
        <f t="shared" si="17"/>
        <v>11999.999999999998</v>
      </c>
      <c r="C95" s="61">
        <v>-250.2905941558065</v>
      </c>
      <c r="D95" s="62">
        <v>0.11299970699189421</v>
      </c>
      <c r="E95" s="62">
        <v>0.11513519806788586</v>
      </c>
      <c r="F95" s="63">
        <v>3.4290051885797688</v>
      </c>
      <c r="G95" s="63" t="e">
        <v>#REF!</v>
      </c>
      <c r="I95" s="57">
        <f t="shared" si="15"/>
        <v>0.47999999999999993</v>
      </c>
      <c r="J95" s="61">
        <v>10684.167053699257</v>
      </c>
      <c r="K95" s="62">
        <v>0.40464374126480918</v>
      </c>
      <c r="L95" s="62">
        <v>0.28575410625799047</v>
      </c>
      <c r="M95" s="63">
        <v>2.0165343696994951</v>
      </c>
      <c r="N95" s="63">
        <v>2.4744984990117058</v>
      </c>
    </row>
    <row r="96" spans="1:14" x14ac:dyDescent="0.35">
      <c r="A96" s="64">
        <f t="shared" si="16"/>
        <v>-0.15000000000000008</v>
      </c>
      <c r="B96" s="57">
        <f t="shared" si="17"/>
        <v>12749.999999999998</v>
      </c>
      <c r="C96" s="61">
        <v>843.15517062970412</v>
      </c>
      <c r="D96" s="62">
        <v>0.14344115223942855</v>
      </c>
      <c r="E96" s="62">
        <v>0.13593816578509466</v>
      </c>
      <c r="F96" s="63">
        <v>3.2982309457455652</v>
      </c>
      <c r="G96" s="63">
        <v>3.8594498965811597</v>
      </c>
      <c r="I96" s="57">
        <f t="shared" si="15"/>
        <v>0.5099999999999999</v>
      </c>
      <c r="J96" s="61">
        <v>9043.9984065210028</v>
      </c>
      <c r="K96" s="62">
        <v>0.36238460829148234</v>
      </c>
      <c r="L96" s="62">
        <v>0.26428817812611083</v>
      </c>
      <c r="M96" s="63">
        <v>2.1845545417651868</v>
      </c>
      <c r="N96" s="63">
        <v>2.7118722939711084</v>
      </c>
    </row>
    <row r="97" spans="1:14" x14ac:dyDescent="0.35">
      <c r="A97" s="64">
        <f t="shared" si="16"/>
        <v>-0.10000000000000007</v>
      </c>
      <c r="B97" s="57">
        <f t="shared" si="17"/>
        <v>13499.999999999998</v>
      </c>
      <c r="C97" s="61">
        <v>1936.6009354152084</v>
      </c>
      <c r="D97" s="62">
        <v>0.17353544585831915</v>
      </c>
      <c r="E97" s="62">
        <v>0.15565718797381201</v>
      </c>
      <c r="F97" s="63">
        <v>3.1770651086670334</v>
      </c>
      <c r="G97" s="63">
        <v>3.6890369036445496</v>
      </c>
      <c r="I97" s="57">
        <f t="shared" si="15"/>
        <v>0.53999999999999992</v>
      </c>
      <c r="J97" s="61">
        <v>7403.8297593427405</v>
      </c>
      <c r="K97" s="62">
        <v>0.31969119843163485</v>
      </c>
      <c r="L97" s="62">
        <v>0.24166956457641686</v>
      </c>
      <c r="M97" s="63">
        <v>2.3831190053025071</v>
      </c>
      <c r="N97" s="63">
        <v>2.9923981360438301</v>
      </c>
    </row>
    <row r="98" spans="1:14" x14ac:dyDescent="0.35">
      <c r="A98" s="64">
        <f t="shared" si="16"/>
        <v>-5.0000000000000072E-2</v>
      </c>
      <c r="B98" s="57">
        <f t="shared" si="17"/>
        <v>14250</v>
      </c>
      <c r="C98" s="61">
        <v>3030.046700200714</v>
      </c>
      <c r="D98" s="62">
        <v>0.20331076999209796</v>
      </c>
      <c r="E98" s="62">
        <v>0.17441554306214346</v>
      </c>
      <c r="F98" s="63">
        <v>3.0644862598834459</v>
      </c>
      <c r="G98" s="63">
        <v>3.5307010308841882</v>
      </c>
      <c r="I98" s="57">
        <f t="shared" si="15"/>
        <v>0.56999999999999995</v>
      </c>
      <c r="J98" s="61">
        <v>5763.6611121644801</v>
      </c>
      <c r="K98" s="62">
        <v>0.27651316975364515</v>
      </c>
      <c r="L98" s="62">
        <v>0.2177426039883732</v>
      </c>
      <c r="M98" s="63">
        <v>2.6213894538919233</v>
      </c>
      <c r="N98" s="63">
        <v>3.1799590975291081</v>
      </c>
    </row>
    <row r="99" spans="1:14" x14ac:dyDescent="0.35">
      <c r="A99" s="64">
        <f t="shared" si="16"/>
        <v>-6.9388939039072284E-17</v>
      </c>
      <c r="B99" s="57">
        <f t="shared" si="17"/>
        <v>14999.999999999998</v>
      </c>
      <c r="C99" s="61">
        <v>4123.4924649862205</v>
      </c>
      <c r="D99" s="62">
        <v>0.23279238592573592</v>
      </c>
      <c r="E99" s="62">
        <v>0.19231581357801542</v>
      </c>
      <c r="F99" s="63">
        <v>2.9125986579876999</v>
      </c>
      <c r="G99" s="63">
        <v>3.3832023614850804</v>
      </c>
      <c r="I99" s="57">
        <f t="shared" si="15"/>
        <v>0.59999999999999987</v>
      </c>
      <c r="J99" s="61">
        <v>4123.4924649862278</v>
      </c>
      <c r="K99" s="62">
        <v>0.23279238592573637</v>
      </c>
      <c r="L99" s="62">
        <v>0.19231581357801564</v>
      </c>
      <c r="M99" s="63">
        <v>2.9125986579876981</v>
      </c>
      <c r="N99" s="63">
        <v>3.3832023614850795</v>
      </c>
    </row>
    <row r="100" spans="1:14" x14ac:dyDescent="0.35">
      <c r="A100" s="64">
        <f t="shared" si="16"/>
        <v>4.9999999999999933E-2</v>
      </c>
      <c r="B100" s="57">
        <f t="shared" si="17"/>
        <v>15749.999999999998</v>
      </c>
      <c r="C100" s="61">
        <v>5216.9382297717257</v>
      </c>
      <c r="D100" s="62">
        <v>0.26200300513158026</v>
      </c>
      <c r="E100" s="62">
        <v>0.20944435293135832</v>
      </c>
      <c r="F100" s="63">
        <v>2.7117659287084983</v>
      </c>
      <c r="G100" s="63">
        <v>3.2454650929957749</v>
      </c>
      <c r="I100" s="57">
        <f t="shared" si="15"/>
        <v>0.62999999999999989</v>
      </c>
      <c r="J100" s="61">
        <v>2483.3238178079687</v>
      </c>
      <c r="K100" s="62">
        <v>0.18846133646655705</v>
      </c>
      <c r="L100" s="62">
        <v>0.16514961146303575</v>
      </c>
      <c r="M100" s="63">
        <v>3.1197603920469876</v>
      </c>
      <c r="N100" s="63">
        <v>3.6084410153639537</v>
      </c>
    </row>
    <row r="101" spans="1:14" x14ac:dyDescent="0.35">
      <c r="A101" s="64">
        <f t="shared" si="16"/>
        <v>9.9999999999999936E-2</v>
      </c>
      <c r="B101" s="57">
        <f t="shared" si="17"/>
        <v>16499.999999999996</v>
      </c>
      <c r="C101" s="61">
        <v>6310.3839945572254</v>
      </c>
      <c r="D101" s="62">
        <v>0.29096310497516464</v>
      </c>
      <c r="E101" s="62">
        <v>0.22587459715327984</v>
      </c>
      <c r="F101" s="63">
        <v>2.536842737898453</v>
      </c>
      <c r="G101" s="63">
        <v>3.1165512544709943</v>
      </c>
      <c r="I101" s="57">
        <f t="shared" si="15"/>
        <v>0.65999999999999992</v>
      </c>
      <c r="J101" s="61">
        <v>843.15517062970957</v>
      </c>
      <c r="K101" s="62">
        <v>0.14344115223942877</v>
      </c>
      <c r="L101" s="62">
        <v>0.13593816578509488</v>
      </c>
      <c r="M101" s="63">
        <v>3.2982309457455643</v>
      </c>
      <c r="N101" s="63">
        <v>3.8594498965811588</v>
      </c>
    </row>
    <row r="102" spans="1:14" x14ac:dyDescent="0.35">
      <c r="A102" s="64">
        <f>A101+5%</f>
        <v>0.14999999999999994</v>
      </c>
      <c r="B102" s="57">
        <f t="shared" si="17"/>
        <v>17250</v>
      </c>
      <c r="C102" s="61">
        <v>7403.8297593427378</v>
      </c>
      <c r="D102" s="62">
        <v>0.31969119843163507</v>
      </c>
      <c r="E102" s="62">
        <v>0.24166956457641686</v>
      </c>
      <c r="F102" s="63">
        <v>2.3831190053025075</v>
      </c>
      <c r="G102" s="63">
        <v>2.992398136043831</v>
      </c>
      <c r="I102" s="57">
        <f t="shared" si="15"/>
        <v>0.69</v>
      </c>
      <c r="J102" s="61">
        <v>-797.01347654855635</v>
      </c>
      <c r="K102" s="62">
        <v>9.7639090763208536E-2</v>
      </c>
      <c r="L102" s="62">
        <v>0.10428158457259595</v>
      </c>
      <c r="M102" s="63">
        <v>3.498359846827793</v>
      </c>
      <c r="N102" s="63" t="e">
        <v>#REF!</v>
      </c>
    </row>
    <row r="103" spans="1:14" x14ac:dyDescent="0.35">
      <c r="A103" s="64">
        <f t="shared" si="16"/>
        <v>0.19999999999999996</v>
      </c>
      <c r="B103" s="57">
        <f t="shared" si="17"/>
        <v>18000</v>
      </c>
      <c r="C103" s="61">
        <v>8497.2755241282448</v>
      </c>
      <c r="D103" s="62">
        <v>0.34820406537393755</v>
      </c>
      <c r="E103" s="62">
        <v>0.25688377272351293</v>
      </c>
      <c r="F103" s="63">
        <v>2.2469610799240201</v>
      </c>
      <c r="G103" s="63">
        <v>2.8000383552893249</v>
      </c>
      <c r="I103" s="57">
        <f t="shared" si="15"/>
        <v>0.72</v>
      </c>
      <c r="J103" s="61">
        <v>-2440.3758423126637</v>
      </c>
      <c r="K103" s="62">
        <v>5.0904826480851817E-2</v>
      </c>
      <c r="L103" s="62">
        <v>6.9570621438665547E-2</v>
      </c>
      <c r="M103" s="63">
        <v>3.7243443049387963</v>
      </c>
      <c r="N103" s="63" t="e">
        <v>#REF!</v>
      </c>
    </row>
    <row r="104" spans="1:14" x14ac:dyDescent="0.35">
      <c r="A104" s="64">
        <f t="shared" si="16"/>
        <v>0.24999999999999994</v>
      </c>
      <c r="B104" s="57">
        <f t="shared" si="17"/>
        <v>18750</v>
      </c>
      <c r="C104" s="61">
        <v>9590.72128891375</v>
      </c>
      <c r="D104" s="62">
        <v>0.37651695168043142</v>
      </c>
      <c r="E104" s="62">
        <v>0.271564729225519</v>
      </c>
      <c r="F104" s="63">
        <v>2.1255208542295945</v>
      </c>
      <c r="G104" s="63">
        <v>2.6284712935525842</v>
      </c>
      <c r="I104" s="57">
        <f t="shared" si="15"/>
        <v>0.75</v>
      </c>
      <c r="J104" s="61">
        <v>-4129.3496021076289</v>
      </c>
      <c r="K104" s="62">
        <v>3.1837752440373457E-3</v>
      </c>
      <c r="L104" s="62">
        <v>2.9976985496688036E-2</v>
      </c>
      <c r="M104" s="63">
        <v>3.9820834299440868</v>
      </c>
      <c r="N104" s="63" t="e">
        <v>#REF!</v>
      </c>
    </row>
    <row r="105" spans="1:14" x14ac:dyDescent="0.35">
      <c r="A105" s="64">
        <f t="shared" si="16"/>
        <v>0.29999999999999993</v>
      </c>
      <c r="B105" s="57">
        <f t="shared" si="17"/>
        <v>19499.999999999996</v>
      </c>
      <c r="C105" s="61">
        <v>10684.16705369925</v>
      </c>
      <c r="D105" s="62">
        <v>0.40464374126480918</v>
      </c>
      <c r="E105" s="62">
        <v>0.28575410625799025</v>
      </c>
      <c r="F105" s="63">
        <v>2.016534369699496</v>
      </c>
      <c r="G105" s="63">
        <v>2.4744984990117063</v>
      </c>
      <c r="I105" s="57">
        <f t="shared" si="15"/>
        <v>0.77999999999999992</v>
      </c>
      <c r="J105" s="61">
        <v>-6648.8214964723475</v>
      </c>
      <c r="K105" s="62">
        <v>-6.9809721064911567E-2</v>
      </c>
      <c r="L105" s="62">
        <v>-3.925145594000734E-2</v>
      </c>
      <c r="M105" s="63" t="e">
        <v>#REF!</v>
      </c>
      <c r="N105" s="63" t="e">
        <v>#REF!</v>
      </c>
    </row>
    <row r="106" spans="1:14" x14ac:dyDescent="0.35">
      <c r="A106" s="64">
        <f>A105+5%</f>
        <v>0.34999999999999992</v>
      </c>
      <c r="B106" s="57">
        <f t="shared" si="17"/>
        <v>20249.999999999996</v>
      </c>
      <c r="C106" s="61">
        <v>11777.612818484755</v>
      </c>
      <c r="D106" s="62">
        <v>0.4325971052419364</v>
      </c>
      <c r="E106" s="62">
        <v>0.29948867635553622</v>
      </c>
      <c r="F106" s="63">
        <v>1.9228118747119087</v>
      </c>
      <c r="G106" s="63">
        <v>2.335545528571831</v>
      </c>
      <c r="I106" s="57">
        <f t="shared" si="15"/>
        <v>0.80999999999999994</v>
      </c>
      <c r="J106" s="61">
        <v>-9382.4359084361222</v>
      </c>
      <c r="K106" s="62">
        <v>-0.15330213486117528</v>
      </c>
      <c r="L106" s="62">
        <v>-0.13673954918981501</v>
      </c>
      <c r="M106" s="63" t="e">
        <v>#REF!</v>
      </c>
      <c r="N106" s="63" t="e">
        <v>#REF!</v>
      </c>
    </row>
    <row r="107" spans="1:14" x14ac:dyDescent="0.35">
      <c r="A107" s="64">
        <f t="shared" si="16"/>
        <v>0.39999999999999991</v>
      </c>
      <c r="B107" s="57">
        <f t="shared" si="17"/>
        <v>21000</v>
      </c>
      <c r="C107" s="61">
        <v>12871.058583270267</v>
      </c>
      <c r="D107" s="62">
        <v>0.46038863171380728</v>
      </c>
      <c r="E107" s="62">
        <v>0.31280106589685985</v>
      </c>
      <c r="F107" s="63">
        <v>1.8382298100341234</v>
      </c>
      <c r="G107" s="63">
        <v>2.2095168471680551</v>
      </c>
      <c r="I107" s="57">
        <f t="shared" si="15"/>
        <v>0.84</v>
      </c>
      <c r="J107" s="61">
        <v>-12116.050320399885</v>
      </c>
      <c r="K107" s="62">
        <v>-0.24132552031822285</v>
      </c>
      <c r="L107" s="62">
        <v>-0.22589851730434074</v>
      </c>
      <c r="M107" s="63" t="e">
        <v>#REF!</v>
      </c>
      <c r="N107" s="63" t="e">
        <v>#REF!</v>
      </c>
    </row>
    <row r="108" spans="1:14" x14ac:dyDescent="0.35">
      <c r="A108" s="64">
        <f t="shared" si="16"/>
        <v>0.4499999999999999</v>
      </c>
      <c r="B108" s="57">
        <f t="shared" si="17"/>
        <v>21750</v>
      </c>
      <c r="C108" s="61">
        <v>13964.504348055774</v>
      </c>
      <c r="D108" s="62">
        <v>0.48802893906809253</v>
      </c>
      <c r="E108" s="62">
        <v>0.32572036757557776</v>
      </c>
      <c r="F108" s="63">
        <v>1.7607755198551818</v>
      </c>
      <c r="G108" s="63">
        <v>2.0946894161004108</v>
      </c>
      <c r="I108" s="57">
        <f t="shared" si="15"/>
        <v>0.87</v>
      </c>
      <c r="J108" s="61">
        <v>-14849.664732363652</v>
      </c>
      <c r="K108" s="62">
        <v>-0.33527784509201897</v>
      </c>
      <c r="L108" s="62">
        <v>-0.28236264376801956</v>
      </c>
      <c r="M108" s="63" t="e">
        <v>#REF!</v>
      </c>
      <c r="N108" s="63" t="e">
        <v>#REF!</v>
      </c>
    </row>
    <row r="109" spans="1:14" x14ac:dyDescent="0.35">
      <c r="A109" s="64">
        <f t="shared" si="16"/>
        <v>0.49999999999999989</v>
      </c>
      <c r="B109" s="57">
        <f t="shared" si="17"/>
        <v>22500</v>
      </c>
      <c r="C109" s="61">
        <v>15057.950112841281</v>
      </c>
      <c r="D109" s="62">
        <v>0.51552777520425463</v>
      </c>
      <c r="E109" s="62">
        <v>0.33827264259707746</v>
      </c>
      <c r="F109" s="63">
        <v>1.6895844408877927</v>
      </c>
      <c r="G109" s="63">
        <v>1.9912046321660104</v>
      </c>
      <c r="I109" s="57">
        <f t="shared" si="15"/>
        <v>0.89999999999999991</v>
      </c>
      <c r="J109" s="61">
        <v>-17583.279144327404</v>
      </c>
      <c r="K109" s="62">
        <v>-0.43708631141049781</v>
      </c>
      <c r="L109" s="62">
        <v>-0.33835855943972937</v>
      </c>
      <c r="M109" s="63" t="e">
        <v>#REF!</v>
      </c>
      <c r="N109" s="63" t="e">
        <v>#REF!</v>
      </c>
    </row>
    <row r="129" spans="1:5" x14ac:dyDescent="0.35">
      <c r="A129" s="57"/>
      <c r="B129" s="61"/>
      <c r="C129" s="61"/>
      <c r="D129" s="61"/>
      <c r="E129" s="61"/>
    </row>
    <row r="130" spans="1:5" x14ac:dyDescent="0.35">
      <c r="A130" s="64"/>
    </row>
    <row r="131" spans="1:5" x14ac:dyDescent="0.35">
      <c r="A131" s="64"/>
    </row>
    <row r="132" spans="1:5" x14ac:dyDescent="0.35">
      <c r="A132" s="64"/>
    </row>
    <row r="133" spans="1:5" x14ac:dyDescent="0.35">
      <c r="A133" s="64"/>
    </row>
    <row r="134" spans="1:5" x14ac:dyDescent="0.35">
      <c r="A134" s="64"/>
    </row>
    <row r="135" spans="1:5" x14ac:dyDescent="0.35">
      <c r="A135" s="64"/>
    </row>
    <row r="136" spans="1:5" x14ac:dyDescent="0.35">
      <c r="A136" s="64"/>
    </row>
    <row r="137" spans="1:5" x14ac:dyDescent="0.35">
      <c r="A137" s="64"/>
    </row>
    <row r="138" spans="1:5" x14ac:dyDescent="0.35">
      <c r="A138" s="64"/>
    </row>
    <row r="139" spans="1:5" x14ac:dyDescent="0.35">
      <c r="A139" s="64"/>
    </row>
    <row r="140" spans="1:5" x14ac:dyDescent="0.35">
      <c r="A140" s="64"/>
    </row>
    <row r="141" spans="1:5" x14ac:dyDescent="0.35">
      <c r="A141" s="64"/>
    </row>
    <row r="142" spans="1:5" x14ac:dyDescent="0.35">
      <c r="A142" s="64"/>
    </row>
    <row r="143" spans="1:5" x14ac:dyDescent="0.35">
      <c r="A143" s="64"/>
    </row>
    <row r="144" spans="1:5" x14ac:dyDescent="0.35">
      <c r="A144" s="64"/>
    </row>
    <row r="145" spans="1:1" x14ac:dyDescent="0.35">
      <c r="A145" s="64"/>
    </row>
    <row r="146" spans="1:1" x14ac:dyDescent="0.35">
      <c r="A146" s="64"/>
    </row>
    <row r="147" spans="1:1" x14ac:dyDescent="0.35">
      <c r="A147" s="64"/>
    </row>
    <row r="148" spans="1:1" x14ac:dyDescent="0.35">
      <c r="A148" s="64"/>
    </row>
    <row r="149" spans="1:1" x14ac:dyDescent="0.35">
      <c r="A149" s="64"/>
    </row>
    <row r="150" spans="1:1" x14ac:dyDescent="0.35">
      <c r="A150" s="64"/>
    </row>
  </sheetData>
  <mergeCells count="2">
    <mergeCell ref="B86:G86"/>
    <mergeCell ref="I86:N86"/>
  </mergeCells>
  <conditionalFormatting sqref="E3:E13">
    <cfRule type="cellIs" dxfId="1" priority="1" operator="notEqual">
      <formula>0</formula>
    </cfRule>
  </conditionalFormatting>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7"/>
  <sheetViews>
    <sheetView topLeftCell="A19" workbookViewId="0">
      <selection activeCell="G74" sqref="G74"/>
    </sheetView>
  </sheetViews>
  <sheetFormatPr defaultColWidth="0" defaultRowHeight="14.5" zeroHeight="1" outlineLevelRow="1" x14ac:dyDescent="0.35"/>
  <cols>
    <col min="1" max="1" width="25.90625" customWidth="1"/>
    <col min="2" max="2" width="13" customWidth="1"/>
    <col min="3" max="3" width="12" customWidth="1"/>
    <col min="4" max="4" width="11.54296875" customWidth="1"/>
    <col min="5" max="5" width="14.6328125" customWidth="1"/>
    <col min="6" max="8" width="10.90625" customWidth="1"/>
    <col min="9" max="9" width="12.36328125" customWidth="1"/>
    <col min="10" max="11" width="10.90625" customWidth="1"/>
    <col min="12" max="12" width="12.81640625" customWidth="1"/>
    <col min="13" max="13" width="10.90625" customWidth="1"/>
    <col min="14" max="14" width="8.90625" customWidth="1"/>
    <col min="15" max="15" width="11.1796875" customWidth="1"/>
    <col min="16" max="20" width="8.90625" customWidth="1"/>
    <col min="21" max="16384" width="8.90625" hidden="1"/>
  </cols>
  <sheetData>
    <row r="1" spans="1:20" x14ac:dyDescent="0.35">
      <c r="A1" s="6"/>
      <c r="B1" s="6"/>
      <c r="C1" s="6"/>
      <c r="D1" s="6"/>
      <c r="E1" s="6"/>
      <c r="F1" s="6"/>
      <c r="G1" s="6"/>
      <c r="H1" s="6"/>
      <c r="I1" s="6"/>
      <c r="J1" s="6"/>
      <c r="K1" s="6"/>
      <c r="L1" s="6"/>
      <c r="M1" s="6"/>
      <c r="N1" s="6"/>
      <c r="O1" s="6"/>
      <c r="P1" s="6"/>
      <c r="Q1" s="6"/>
      <c r="R1" s="6"/>
      <c r="S1" s="6"/>
      <c r="T1" s="6"/>
    </row>
    <row r="2" spans="1:20" x14ac:dyDescent="0.35">
      <c r="A2" s="17" t="s">
        <v>41</v>
      </c>
      <c r="B2" s="17"/>
      <c r="C2" s="17"/>
      <c r="D2" s="6"/>
      <c r="E2" s="6"/>
      <c r="F2" s="6"/>
      <c r="G2" s="6"/>
      <c r="H2" s="6"/>
      <c r="I2" s="6"/>
      <c r="J2" s="6"/>
      <c r="K2" s="6"/>
      <c r="L2" s="6"/>
      <c r="M2" s="6"/>
      <c r="N2" s="6"/>
      <c r="O2" s="6"/>
      <c r="P2" s="6"/>
      <c r="Q2" s="6"/>
      <c r="R2" s="6"/>
      <c r="S2" s="6"/>
      <c r="T2" s="6"/>
    </row>
    <row r="3" spans="1:20" x14ac:dyDescent="0.35">
      <c r="A3" s="17" t="s">
        <v>32</v>
      </c>
      <c r="B3" s="45">
        <f>B8/F3</f>
        <v>20000</v>
      </c>
      <c r="C3" s="17"/>
      <c r="D3" s="6"/>
      <c r="E3" s="6" t="s">
        <v>103</v>
      </c>
      <c r="F3" s="14">
        <v>0.1</v>
      </c>
      <c r="G3" s="6"/>
      <c r="H3" s="6"/>
      <c r="I3" s="6"/>
      <c r="J3" s="6"/>
      <c r="K3" s="6"/>
      <c r="L3" s="6"/>
      <c r="M3" s="6"/>
      <c r="N3" s="6"/>
      <c r="O3" s="6"/>
      <c r="P3" s="6"/>
      <c r="Q3" s="6"/>
      <c r="R3" s="6"/>
      <c r="S3" s="6"/>
      <c r="T3" s="6"/>
    </row>
    <row r="4" spans="1:20" x14ac:dyDescent="0.35">
      <c r="A4" s="17" t="s">
        <v>98</v>
      </c>
      <c r="B4" s="45">
        <v>5000</v>
      </c>
      <c r="C4" s="17"/>
      <c r="D4" s="6"/>
      <c r="E4" s="6"/>
      <c r="F4" s="6"/>
      <c r="G4" s="6"/>
      <c r="H4" s="6"/>
      <c r="I4" s="6"/>
      <c r="J4" s="6"/>
      <c r="K4" s="6"/>
      <c r="L4" s="6"/>
      <c r="M4" s="6"/>
      <c r="N4" s="6"/>
      <c r="O4" s="6"/>
      <c r="P4" s="6"/>
      <c r="Q4" s="6"/>
      <c r="R4" s="6"/>
      <c r="S4" s="6"/>
      <c r="T4" s="6"/>
    </row>
    <row r="5" spans="1:20" x14ac:dyDescent="0.35">
      <c r="A5" s="17" t="s">
        <v>52</v>
      </c>
      <c r="B5" s="45">
        <f>L36/F5</f>
        <v>32637.969212642958</v>
      </c>
      <c r="C5" s="17"/>
      <c r="D5" s="6"/>
      <c r="E5" s="6" t="s">
        <v>104</v>
      </c>
      <c r="F5" s="14">
        <v>7.0000000000000007E-2</v>
      </c>
      <c r="G5" s="6"/>
      <c r="H5" s="6"/>
      <c r="I5" s="6"/>
      <c r="J5" s="6"/>
      <c r="K5" s="6"/>
      <c r="L5" s="6"/>
      <c r="M5" s="6"/>
      <c r="N5" s="6"/>
      <c r="O5" s="6"/>
      <c r="P5" s="6"/>
      <c r="Q5" s="6"/>
      <c r="R5" s="6"/>
      <c r="S5" s="6"/>
      <c r="T5" s="6"/>
    </row>
    <row r="6" spans="1:20" x14ac:dyDescent="0.35">
      <c r="A6" s="17"/>
      <c r="B6" s="17"/>
      <c r="C6" s="17"/>
      <c r="D6" s="6"/>
      <c r="E6" s="6"/>
      <c r="F6" s="6"/>
      <c r="G6" s="6"/>
      <c r="H6" s="6"/>
      <c r="I6" s="6"/>
      <c r="J6" s="6"/>
      <c r="K6" s="6"/>
      <c r="L6" s="6"/>
      <c r="M6" s="6"/>
      <c r="N6" s="6"/>
      <c r="O6" s="6"/>
      <c r="P6" s="6"/>
      <c r="Q6" s="6"/>
      <c r="R6" s="6"/>
      <c r="S6" s="6"/>
      <c r="T6" s="6"/>
    </row>
    <row r="7" spans="1:20" x14ac:dyDescent="0.35">
      <c r="A7" s="17" t="s">
        <v>34</v>
      </c>
      <c r="B7" s="17">
        <v>0</v>
      </c>
      <c r="C7" s="17"/>
      <c r="D7" s="6"/>
      <c r="E7" s="6"/>
      <c r="F7" s="6"/>
      <c r="G7" s="6"/>
      <c r="H7" s="6"/>
      <c r="I7" s="6"/>
      <c r="J7" s="6"/>
      <c r="K7" s="6"/>
      <c r="L7" s="6"/>
      <c r="M7" s="6"/>
      <c r="N7" s="6"/>
      <c r="O7" s="6"/>
      <c r="P7" s="6"/>
      <c r="Q7" s="6"/>
      <c r="R7" s="6"/>
      <c r="S7" s="6"/>
      <c r="T7" s="6"/>
    </row>
    <row r="8" spans="1:20" x14ac:dyDescent="0.35">
      <c r="A8" s="17" t="s">
        <v>106</v>
      </c>
      <c r="B8" s="17">
        <v>2000</v>
      </c>
      <c r="C8" s="17"/>
      <c r="D8" s="6"/>
      <c r="E8" s="17" t="s">
        <v>85</v>
      </c>
      <c r="F8" s="18">
        <v>0.02</v>
      </c>
      <c r="G8" s="6"/>
      <c r="H8" s="6"/>
      <c r="I8" s="6"/>
      <c r="J8" s="6"/>
      <c r="K8" s="6"/>
      <c r="L8" s="6"/>
      <c r="M8" s="6"/>
      <c r="N8" s="6"/>
      <c r="O8" s="6"/>
      <c r="P8" s="6"/>
      <c r="Q8" s="6"/>
      <c r="R8" s="6"/>
      <c r="S8" s="6"/>
      <c r="T8" s="6"/>
    </row>
    <row r="9" spans="1:20" x14ac:dyDescent="0.35">
      <c r="A9" s="53" t="s">
        <v>115</v>
      </c>
      <c r="B9" s="20">
        <f>F8+1%</f>
        <v>0.03</v>
      </c>
      <c r="C9" s="17"/>
      <c r="D9" s="6"/>
      <c r="E9" s="6"/>
      <c r="F9" s="6"/>
      <c r="G9" s="6"/>
      <c r="H9" s="6"/>
      <c r="I9" s="6"/>
      <c r="J9" s="6"/>
      <c r="K9" s="6"/>
      <c r="L9" s="6"/>
      <c r="M9" s="6"/>
      <c r="N9" s="6"/>
      <c r="O9" s="6"/>
      <c r="P9" s="6"/>
      <c r="Q9" s="6"/>
      <c r="R9" s="6"/>
      <c r="S9" s="6"/>
      <c r="T9" s="6"/>
    </row>
    <row r="10" spans="1:20" x14ac:dyDescent="0.35">
      <c r="A10" s="17" t="s">
        <v>101</v>
      </c>
      <c r="B10" s="18">
        <v>0.85</v>
      </c>
      <c r="C10" s="17"/>
      <c r="D10" s="6"/>
      <c r="E10" s="6" t="s">
        <v>113</v>
      </c>
      <c r="F10" s="6"/>
      <c r="G10" s="6"/>
      <c r="H10" s="6"/>
      <c r="I10" s="6"/>
      <c r="J10" s="6"/>
      <c r="K10" s="6"/>
      <c r="L10" s="6"/>
      <c r="M10" s="6"/>
      <c r="N10" s="6"/>
      <c r="O10" s="6"/>
      <c r="P10" s="6"/>
      <c r="Q10" s="6"/>
      <c r="R10" s="6"/>
      <c r="S10" s="6"/>
      <c r="T10" s="6"/>
    </row>
    <row r="11" spans="1:20" x14ac:dyDescent="0.35">
      <c r="A11" s="17" t="s">
        <v>107</v>
      </c>
      <c r="B11" s="18">
        <v>0.05</v>
      </c>
      <c r="C11" s="17" t="s">
        <v>99</v>
      </c>
      <c r="D11" s="6"/>
      <c r="E11" s="6" t="s">
        <v>114</v>
      </c>
      <c r="F11" s="6"/>
      <c r="G11" s="6"/>
      <c r="H11" s="6"/>
      <c r="I11" s="6"/>
      <c r="J11" s="6"/>
      <c r="K11" s="6"/>
      <c r="L11" s="6"/>
      <c r="M11" s="6"/>
      <c r="N11" s="6"/>
      <c r="O11" s="6"/>
      <c r="P11" s="6"/>
      <c r="Q11" s="6"/>
      <c r="R11" s="6"/>
      <c r="S11" s="6"/>
      <c r="T11" s="6"/>
    </row>
    <row r="12" spans="1:20" x14ac:dyDescent="0.35">
      <c r="A12" s="17" t="s">
        <v>38</v>
      </c>
      <c r="B12" s="19">
        <v>50</v>
      </c>
      <c r="C12" s="17"/>
      <c r="D12" s="6"/>
      <c r="E12" s="6"/>
      <c r="F12" s="6"/>
      <c r="G12" s="6"/>
      <c r="H12" s="6"/>
      <c r="I12" s="6"/>
      <c r="J12" s="6"/>
      <c r="K12" s="6"/>
      <c r="L12" s="6"/>
      <c r="M12" s="6"/>
      <c r="N12" s="6"/>
      <c r="O12" s="6"/>
      <c r="P12" s="6"/>
      <c r="Q12" s="6"/>
      <c r="R12" s="6"/>
      <c r="S12" s="6"/>
      <c r="T12" s="6"/>
    </row>
    <row r="13" spans="1:20" x14ac:dyDescent="0.35">
      <c r="A13" s="17" t="s">
        <v>47</v>
      </c>
      <c r="B13" s="18">
        <v>0.05</v>
      </c>
      <c r="C13" s="17"/>
      <c r="D13" s="6"/>
      <c r="E13" s="6"/>
      <c r="F13" s="6"/>
      <c r="G13" s="6"/>
      <c r="H13" s="6"/>
      <c r="I13" s="6"/>
      <c r="J13" s="6"/>
      <c r="K13" s="6"/>
      <c r="L13" s="6"/>
      <c r="M13" s="6"/>
      <c r="N13" s="6"/>
      <c r="O13" s="6"/>
      <c r="P13" s="6"/>
      <c r="Q13" s="6"/>
      <c r="R13" s="6"/>
      <c r="S13" s="6"/>
      <c r="T13" s="6"/>
    </row>
    <row r="14" spans="1:20" x14ac:dyDescent="0.35">
      <c r="A14" s="17" t="s">
        <v>105</v>
      </c>
      <c r="B14" s="29">
        <v>2.5000000000000001E-2</v>
      </c>
      <c r="C14" s="17"/>
      <c r="D14" s="6"/>
      <c r="E14" s="6"/>
      <c r="F14" s="6"/>
      <c r="G14" s="6"/>
      <c r="H14" s="6"/>
      <c r="I14" s="6"/>
      <c r="J14" s="6"/>
      <c r="K14" s="6"/>
      <c r="L14" s="6"/>
      <c r="M14" s="6"/>
      <c r="N14" s="6"/>
      <c r="O14" s="6"/>
      <c r="P14" s="6"/>
      <c r="Q14" s="6"/>
      <c r="R14" s="6"/>
      <c r="S14" s="6"/>
      <c r="T14" s="6"/>
    </row>
    <row r="15" spans="1:20" x14ac:dyDescent="0.35">
      <c r="A15" s="17"/>
      <c r="B15" s="29"/>
      <c r="C15" s="17"/>
      <c r="D15" s="6"/>
      <c r="E15" s="6"/>
      <c r="F15" s="6"/>
      <c r="G15" s="6"/>
      <c r="H15" s="6"/>
      <c r="I15" s="6"/>
      <c r="J15" s="6"/>
      <c r="K15" s="6"/>
      <c r="L15" s="6"/>
      <c r="M15" s="6"/>
      <c r="N15" s="6"/>
      <c r="O15" s="6"/>
      <c r="P15" s="6"/>
      <c r="Q15" s="6"/>
      <c r="R15" s="6"/>
      <c r="S15" s="6"/>
      <c r="T15" s="6"/>
    </row>
    <row r="16" spans="1:20" x14ac:dyDescent="0.35">
      <c r="A16" s="17" t="s">
        <v>200</v>
      </c>
      <c r="B16" s="45">
        <f>B3+B4</f>
        <v>25000</v>
      </c>
      <c r="C16" s="17"/>
      <c r="D16" s="6"/>
      <c r="E16" s="6"/>
      <c r="F16" s="6"/>
      <c r="G16" s="6"/>
      <c r="H16" s="6"/>
      <c r="I16" s="6"/>
      <c r="J16" s="6" t="s">
        <v>201</v>
      </c>
      <c r="K16" s="6"/>
      <c r="L16" s="6"/>
      <c r="M16" s="6"/>
      <c r="N16" s="6"/>
      <c r="O16" s="6"/>
      <c r="P16" s="6"/>
      <c r="Q16" s="6"/>
      <c r="R16" s="6"/>
      <c r="S16" s="6"/>
      <c r="T16" s="6"/>
    </row>
    <row r="17" spans="1:20" x14ac:dyDescent="0.35">
      <c r="A17" s="29" t="s">
        <v>159</v>
      </c>
      <c r="B17" s="29">
        <v>0.5</v>
      </c>
      <c r="C17" s="17"/>
      <c r="D17" s="125" t="s">
        <v>162</v>
      </c>
      <c r="E17" s="125">
        <v>5.5E-2</v>
      </c>
      <c r="F17" s="6"/>
      <c r="G17" s="6"/>
      <c r="H17" s="6"/>
      <c r="I17" s="6"/>
      <c r="J17" s="121" t="s">
        <v>202</v>
      </c>
      <c r="K17" s="6"/>
      <c r="L17" s="6"/>
      <c r="M17" s="6"/>
      <c r="N17" s="6"/>
      <c r="O17" s="6"/>
      <c r="P17" s="6"/>
      <c r="Q17" s="6"/>
      <c r="R17" s="6"/>
      <c r="S17" s="6"/>
      <c r="T17" s="6"/>
    </row>
    <row r="18" spans="1:20" x14ac:dyDescent="0.35">
      <c r="A18" s="17" t="s">
        <v>141</v>
      </c>
      <c r="B18" s="120">
        <f>B17*B16</f>
        <v>12500</v>
      </c>
      <c r="C18" s="17"/>
      <c r="D18" s="29" t="s">
        <v>148</v>
      </c>
      <c r="E18" s="29">
        <v>0.2</v>
      </c>
      <c r="F18" s="58" t="s">
        <v>149</v>
      </c>
      <c r="G18" s="114">
        <f>E18*B18</f>
        <v>2500</v>
      </c>
      <c r="H18" s="6"/>
      <c r="I18" s="6"/>
      <c r="J18" s="121" t="s">
        <v>205</v>
      </c>
      <c r="K18" s="6"/>
      <c r="L18" s="6"/>
      <c r="M18" s="6"/>
      <c r="N18" s="6"/>
      <c r="O18" s="6"/>
      <c r="P18" s="6"/>
      <c r="Q18" s="6"/>
      <c r="R18" s="6"/>
      <c r="S18" s="6"/>
      <c r="T18" s="6"/>
    </row>
    <row r="19" spans="1:20" x14ac:dyDescent="0.35">
      <c r="A19" s="17" t="s">
        <v>193</v>
      </c>
      <c r="B19" s="29">
        <f>1-B17</f>
        <v>0.5</v>
      </c>
      <c r="C19" s="17"/>
      <c r="D19" s="6"/>
      <c r="E19" s="6"/>
      <c r="F19" s="6"/>
      <c r="G19" s="6"/>
      <c r="H19" s="6"/>
      <c r="I19" s="6"/>
      <c r="J19" s="121" t="s">
        <v>208</v>
      </c>
      <c r="K19" s="6"/>
      <c r="L19" s="6"/>
      <c r="M19" s="6"/>
      <c r="N19" s="6"/>
      <c r="O19" s="6"/>
      <c r="P19" s="6"/>
      <c r="Q19" s="6"/>
      <c r="R19" s="6"/>
      <c r="S19" s="6"/>
      <c r="T19" s="6"/>
    </row>
    <row r="20" spans="1:20" x14ac:dyDescent="0.35">
      <c r="A20" s="17" t="s">
        <v>142</v>
      </c>
      <c r="B20" s="120">
        <f>B19*B16</f>
        <v>12500</v>
      </c>
      <c r="C20" s="17"/>
      <c r="D20" s="29" t="s">
        <v>203</v>
      </c>
      <c r="E20" s="29">
        <v>0.05</v>
      </c>
      <c r="F20" s="58" t="s">
        <v>186</v>
      </c>
      <c r="G20" s="114">
        <f>B20*E20</f>
        <v>625</v>
      </c>
      <c r="H20" s="6"/>
      <c r="I20" s="6"/>
      <c r="J20" s="121" t="s">
        <v>213</v>
      </c>
      <c r="K20" s="6"/>
      <c r="L20" s="6"/>
      <c r="M20" s="6"/>
      <c r="N20" s="6"/>
      <c r="O20" s="6"/>
      <c r="P20" s="6"/>
      <c r="Q20" s="6"/>
      <c r="R20" s="6"/>
      <c r="S20" s="6"/>
      <c r="T20" s="6"/>
    </row>
    <row r="21" spans="1:20" x14ac:dyDescent="0.35">
      <c r="A21" s="17"/>
      <c r="B21" s="29"/>
      <c r="C21" s="17"/>
      <c r="D21" s="6"/>
      <c r="E21" s="6"/>
      <c r="F21" s="6"/>
      <c r="G21" s="6"/>
      <c r="H21" s="6"/>
      <c r="I21" s="6"/>
      <c r="J21" s="6" t="s">
        <v>214</v>
      </c>
      <c r="K21" s="6"/>
      <c r="L21" s="6"/>
      <c r="M21" s="6"/>
      <c r="N21" s="6"/>
      <c r="O21" s="6"/>
      <c r="P21" s="6"/>
      <c r="Q21" s="6"/>
      <c r="R21" s="6"/>
      <c r="S21" s="6"/>
      <c r="T21" s="6"/>
    </row>
    <row r="22" spans="1:20" x14ac:dyDescent="0.35">
      <c r="A22" s="17" t="s">
        <v>204</v>
      </c>
      <c r="B22" s="122">
        <v>0.7</v>
      </c>
      <c r="C22" s="17"/>
      <c r="D22" s="58" t="s">
        <v>211</v>
      </c>
      <c r="E22" s="58"/>
      <c r="F22" s="123">
        <f>B23/(1-E20)+B24</f>
        <v>7.2631578947368422E-2</v>
      </c>
      <c r="G22" s="6"/>
      <c r="H22" s="6"/>
      <c r="I22" s="6"/>
      <c r="J22" s="6"/>
      <c r="K22" s="6"/>
      <c r="L22" s="6"/>
      <c r="M22" s="6"/>
      <c r="N22" s="6"/>
      <c r="O22" s="6"/>
      <c r="P22" s="6"/>
      <c r="Q22" s="6"/>
      <c r="R22" s="6"/>
      <c r="S22" s="6"/>
      <c r="T22" s="6"/>
    </row>
    <row r="23" spans="1:20" x14ac:dyDescent="0.35">
      <c r="A23" s="17" t="s">
        <v>206</v>
      </c>
      <c r="B23" s="29">
        <v>0.05</v>
      </c>
      <c r="C23" s="17"/>
      <c r="D23" s="58" t="s">
        <v>212</v>
      </c>
      <c r="E23" s="58"/>
      <c r="F23" s="123">
        <f>B25+(B26+B27)*B22</f>
        <v>7.400000000000001E-2</v>
      </c>
      <c r="G23" s="6"/>
      <c r="H23" s="6"/>
      <c r="I23" s="6"/>
      <c r="J23" s="6"/>
      <c r="K23" s="6"/>
      <c r="L23" s="6"/>
      <c r="M23" s="6"/>
      <c r="N23" s="6"/>
      <c r="O23" s="6"/>
      <c r="P23" s="6"/>
      <c r="Q23" s="6"/>
      <c r="R23" s="6"/>
      <c r="S23" s="6"/>
      <c r="T23" s="6"/>
    </row>
    <row r="24" spans="1:20" x14ac:dyDescent="0.35">
      <c r="A24" s="17" t="s">
        <v>207</v>
      </c>
      <c r="B24" s="29">
        <v>0.02</v>
      </c>
      <c r="C24" s="17"/>
      <c r="D24" s="59" t="s">
        <v>217</v>
      </c>
      <c r="E24" s="59"/>
      <c r="F24" s="124">
        <f>AVERAGE(F22:F23)</f>
        <v>7.3315789473684223E-2</v>
      </c>
      <c r="G24" s="6"/>
      <c r="H24" s="6"/>
      <c r="I24" s="6"/>
      <c r="J24" s="6"/>
      <c r="K24" s="6"/>
      <c r="L24" s="6"/>
      <c r="M24" s="6"/>
      <c r="N24" s="6"/>
      <c r="O24" s="6"/>
      <c r="P24" s="6"/>
      <c r="Q24" s="6"/>
      <c r="R24" s="6"/>
      <c r="S24" s="6"/>
      <c r="T24" s="6"/>
    </row>
    <row r="25" spans="1:20" x14ac:dyDescent="0.35">
      <c r="A25" s="17" t="s">
        <v>209</v>
      </c>
      <c r="B25" s="29">
        <v>2.5000000000000001E-2</v>
      </c>
      <c r="C25" s="17"/>
      <c r="D25" s="6" t="s">
        <v>210</v>
      </c>
      <c r="E25" s="6"/>
      <c r="F25" s="6"/>
      <c r="G25" s="6"/>
      <c r="H25" s="6"/>
      <c r="I25" s="6"/>
      <c r="J25" s="6"/>
      <c r="K25" s="6"/>
      <c r="L25" s="6"/>
      <c r="M25" s="6"/>
      <c r="N25" s="6"/>
      <c r="O25" s="6"/>
      <c r="P25" s="6"/>
      <c r="Q25" s="6"/>
      <c r="R25" s="6"/>
      <c r="S25" s="6"/>
      <c r="T25" s="6"/>
    </row>
    <row r="26" spans="1:20" x14ac:dyDescent="0.35">
      <c r="A26" s="17" t="s">
        <v>215</v>
      </c>
      <c r="B26" s="29">
        <v>0.05</v>
      </c>
      <c r="C26" s="17"/>
      <c r="D26" s="6"/>
      <c r="E26" s="6"/>
      <c r="F26" s="6"/>
      <c r="G26" s="6"/>
      <c r="H26" s="6"/>
      <c r="I26" s="6"/>
      <c r="J26" s="6"/>
      <c r="K26" s="6"/>
      <c r="L26" s="6"/>
      <c r="M26" s="6"/>
      <c r="N26" s="6"/>
      <c r="O26" s="6"/>
      <c r="P26" s="6"/>
      <c r="Q26" s="6"/>
      <c r="R26" s="6"/>
      <c r="S26" s="6"/>
      <c r="T26" s="6"/>
    </row>
    <row r="27" spans="1:20" x14ac:dyDescent="0.35">
      <c r="A27" s="17" t="s">
        <v>216</v>
      </c>
      <c r="B27" s="18">
        <v>0.02</v>
      </c>
      <c r="C27" s="17"/>
      <c r="D27" s="6"/>
      <c r="E27" s="126" t="s">
        <v>191</v>
      </c>
      <c r="F27" s="127">
        <f>B17*E17*(1-B13)+B19*F24</f>
        <v>6.2782894736842107E-2</v>
      </c>
      <c r="G27" s="6"/>
      <c r="H27" s="6"/>
      <c r="I27" s="6"/>
      <c r="J27" s="6"/>
      <c r="K27" s="6"/>
      <c r="L27" s="6"/>
      <c r="M27" s="6"/>
      <c r="N27" s="6"/>
      <c r="O27" s="6"/>
      <c r="P27" s="6"/>
      <c r="Q27" s="6"/>
      <c r="R27" s="6"/>
      <c r="S27" s="6"/>
      <c r="T27" s="6"/>
    </row>
    <row r="28" spans="1:20" x14ac:dyDescent="0.35">
      <c r="A28" s="5"/>
      <c r="B28" s="5">
        <v>0</v>
      </c>
      <c r="C28" s="5">
        <v>1</v>
      </c>
      <c r="D28" s="5">
        <v>2</v>
      </c>
      <c r="E28" s="5">
        <v>3</v>
      </c>
      <c r="F28" s="5">
        <v>4</v>
      </c>
      <c r="G28" s="5">
        <v>5</v>
      </c>
      <c r="H28" s="5">
        <v>6</v>
      </c>
      <c r="I28" s="5">
        <v>7</v>
      </c>
      <c r="J28" s="5">
        <v>8</v>
      </c>
      <c r="K28" s="5">
        <v>9</v>
      </c>
      <c r="L28" s="5">
        <v>10</v>
      </c>
      <c r="M28" s="6"/>
      <c r="N28" s="6"/>
      <c r="O28" s="6"/>
      <c r="P28" s="6"/>
      <c r="Q28" s="6"/>
      <c r="R28" s="6"/>
      <c r="S28" s="6"/>
      <c r="T28" s="6"/>
    </row>
    <row r="29" spans="1:20" x14ac:dyDescent="0.35">
      <c r="A29" s="15" t="s">
        <v>31</v>
      </c>
      <c r="B29" s="6"/>
      <c r="C29" s="6"/>
      <c r="D29" s="6"/>
      <c r="E29" s="6"/>
      <c r="F29" s="6"/>
      <c r="G29" s="6"/>
      <c r="H29" s="6"/>
      <c r="I29" s="6"/>
      <c r="J29" s="6"/>
      <c r="K29" s="6"/>
      <c r="L29" s="6"/>
      <c r="M29" s="6"/>
      <c r="N29" s="6"/>
      <c r="O29" s="6"/>
      <c r="P29" s="6"/>
      <c r="Q29" s="6"/>
      <c r="R29" s="6"/>
      <c r="S29" s="6"/>
      <c r="T29" s="6"/>
    </row>
    <row r="30" spans="1:20" x14ac:dyDescent="0.35">
      <c r="A30" s="6" t="s">
        <v>32</v>
      </c>
      <c r="B30" s="32">
        <f>-B3</f>
        <v>-20000</v>
      </c>
      <c r="C30" s="6"/>
      <c r="D30" s="6"/>
      <c r="E30" s="6"/>
      <c r="F30" s="6"/>
      <c r="G30" s="6"/>
      <c r="H30" s="6"/>
      <c r="I30" s="6"/>
      <c r="J30" s="6"/>
      <c r="K30" s="6"/>
      <c r="L30" s="6"/>
      <c r="M30" s="6"/>
      <c r="N30" s="6"/>
      <c r="O30" s="6"/>
      <c r="P30" s="6"/>
      <c r="Q30" s="6"/>
      <c r="R30" s="6"/>
      <c r="S30" s="6"/>
      <c r="T30" s="6"/>
    </row>
    <row r="31" spans="1:20" x14ac:dyDescent="0.35">
      <c r="A31" s="6" t="s">
        <v>98</v>
      </c>
      <c r="B31" s="32">
        <f>-B4</f>
        <v>-5000</v>
      </c>
      <c r="C31" s="6"/>
      <c r="D31" s="6"/>
      <c r="E31" s="6"/>
      <c r="F31" s="6"/>
      <c r="G31" s="6"/>
      <c r="H31" s="6"/>
      <c r="I31" s="6"/>
      <c r="J31" s="6"/>
      <c r="K31" s="6"/>
      <c r="L31" s="6"/>
      <c r="M31" s="6"/>
      <c r="N31" s="6"/>
      <c r="O31" s="6"/>
      <c r="P31" s="6"/>
      <c r="Q31" s="6"/>
      <c r="R31" s="6"/>
      <c r="S31" s="6"/>
      <c r="T31" s="6"/>
    </row>
    <row r="32" spans="1:20" x14ac:dyDescent="0.35">
      <c r="A32" s="16" t="s">
        <v>34</v>
      </c>
      <c r="B32" s="33">
        <f>-B7</f>
        <v>0</v>
      </c>
      <c r="C32" s="6"/>
      <c r="D32" s="6"/>
      <c r="E32" s="6"/>
      <c r="F32" s="6"/>
      <c r="G32" s="6"/>
      <c r="H32" s="6"/>
      <c r="I32" s="6"/>
      <c r="J32" s="6"/>
      <c r="K32" s="6"/>
      <c r="L32" s="6"/>
      <c r="M32" s="6"/>
      <c r="N32" s="6"/>
      <c r="O32" s="6"/>
      <c r="P32" s="6"/>
      <c r="Q32" s="6"/>
      <c r="R32" s="6"/>
      <c r="S32" s="6"/>
      <c r="T32" s="6"/>
    </row>
    <row r="33" spans="1:20" x14ac:dyDescent="0.35">
      <c r="A33" s="7" t="s">
        <v>35</v>
      </c>
      <c r="B33" s="32">
        <f>SUM(B30:B32)</f>
        <v>-25000</v>
      </c>
      <c r="C33" s="6"/>
      <c r="D33" s="6"/>
      <c r="E33" s="6"/>
      <c r="F33" s="6"/>
      <c r="G33" s="6"/>
      <c r="H33" s="6"/>
      <c r="I33" s="6"/>
      <c r="J33" s="6"/>
      <c r="K33" s="6"/>
      <c r="L33" s="6"/>
      <c r="M33" s="6"/>
      <c r="N33" s="6"/>
      <c r="O33" s="6"/>
      <c r="P33" s="6"/>
      <c r="Q33" s="6"/>
      <c r="R33" s="6"/>
      <c r="S33" s="6"/>
      <c r="T33" s="6"/>
    </row>
    <row r="34" spans="1:20" ht="11.5" customHeight="1" x14ac:dyDescent="0.35">
      <c r="A34" s="6"/>
      <c r="B34" s="6"/>
      <c r="C34" s="6"/>
      <c r="D34" s="6"/>
      <c r="E34" s="6"/>
      <c r="F34" s="6"/>
      <c r="G34" s="6"/>
      <c r="H34" s="6"/>
      <c r="I34" s="6"/>
      <c r="J34" s="6"/>
      <c r="K34" s="6"/>
      <c r="L34" s="6"/>
      <c r="M34" s="6"/>
      <c r="N34" s="6"/>
      <c r="O34" s="6"/>
      <c r="P34" s="6"/>
      <c r="Q34" s="6"/>
      <c r="R34" s="6"/>
      <c r="S34" s="6"/>
      <c r="T34" s="6"/>
    </row>
    <row r="35" spans="1:20" x14ac:dyDescent="0.35">
      <c r="A35" s="15" t="s">
        <v>59</v>
      </c>
      <c r="B35" s="6"/>
      <c r="C35" s="6"/>
      <c r="D35" s="6"/>
      <c r="E35" s="6"/>
      <c r="F35" s="6"/>
      <c r="G35" s="6"/>
      <c r="H35" s="6"/>
      <c r="I35" s="6"/>
      <c r="J35" s="6"/>
      <c r="K35" s="6"/>
      <c r="L35" s="6"/>
      <c r="M35" s="6"/>
      <c r="N35" s="6"/>
      <c r="O35" s="6"/>
      <c r="P35" s="6"/>
      <c r="Q35" s="6"/>
      <c r="R35" s="6"/>
      <c r="S35" s="6"/>
      <c r="T35" s="6"/>
    </row>
    <row r="36" spans="1:20" x14ac:dyDescent="0.35">
      <c r="A36" s="6" t="s">
        <v>102</v>
      </c>
      <c r="B36" s="6"/>
      <c r="C36" s="32">
        <f>B8*B10*(1+$B$9)</f>
        <v>1751</v>
      </c>
      <c r="D36" s="32">
        <f>C36*(1+$B$9)</f>
        <v>1803.53</v>
      </c>
      <c r="E36" s="32">
        <f t="shared" ref="E36:L36" si="0">D36*(1+$B$9)</f>
        <v>1857.6359</v>
      </c>
      <c r="F36" s="32">
        <f t="shared" si="0"/>
        <v>1913.364977</v>
      </c>
      <c r="G36" s="32">
        <f t="shared" si="0"/>
        <v>1970.7659263099999</v>
      </c>
      <c r="H36" s="32">
        <f t="shared" si="0"/>
        <v>2029.8889040992999</v>
      </c>
      <c r="I36" s="32">
        <f t="shared" si="0"/>
        <v>2090.785571222279</v>
      </c>
      <c r="J36" s="32">
        <f t="shared" si="0"/>
        <v>2153.5091383589474</v>
      </c>
      <c r="K36" s="32">
        <f t="shared" si="0"/>
        <v>2218.1144125097157</v>
      </c>
      <c r="L36" s="32">
        <f t="shared" si="0"/>
        <v>2284.6578448850073</v>
      </c>
      <c r="M36" s="6"/>
      <c r="N36" s="6"/>
      <c r="O36" s="6"/>
      <c r="P36" s="6"/>
      <c r="Q36" s="6"/>
      <c r="R36" s="6"/>
      <c r="S36" s="6"/>
      <c r="T36" s="6"/>
    </row>
    <row r="37" spans="1:20" x14ac:dyDescent="0.35">
      <c r="A37" s="8" t="s">
        <v>37</v>
      </c>
      <c r="B37" s="6"/>
      <c r="C37" s="32">
        <f>-C36*B11*(1+$F$8)</f>
        <v>-89.301000000000016</v>
      </c>
      <c r="D37" s="32">
        <f t="shared" ref="D37:L38" si="1">C37*(1+$F$8)</f>
        <v>-91.087020000000024</v>
      </c>
      <c r="E37" s="32">
        <f t="shared" si="1"/>
        <v>-92.90876040000002</v>
      </c>
      <c r="F37" s="32">
        <f t="shared" si="1"/>
        <v>-94.766935608000026</v>
      </c>
      <c r="G37" s="32">
        <f t="shared" si="1"/>
        <v>-96.662274320160023</v>
      </c>
      <c r="H37" s="32">
        <f t="shared" si="1"/>
        <v>-98.595519806563232</v>
      </c>
      <c r="I37" s="32">
        <f t="shared" si="1"/>
        <v>-100.5674302026945</v>
      </c>
      <c r="J37" s="32">
        <f t="shared" si="1"/>
        <v>-102.57877880674839</v>
      </c>
      <c r="K37" s="32">
        <f t="shared" si="1"/>
        <v>-104.63035438288335</v>
      </c>
      <c r="L37" s="32">
        <f t="shared" si="1"/>
        <v>-106.72296147054102</v>
      </c>
      <c r="M37" s="6"/>
      <c r="N37" s="6"/>
      <c r="O37" s="6"/>
      <c r="P37" s="6"/>
      <c r="Q37" s="6"/>
      <c r="R37" s="6"/>
      <c r="S37" s="6"/>
      <c r="T37" s="6"/>
    </row>
    <row r="38" spans="1:20" x14ac:dyDescent="0.35">
      <c r="A38" s="16" t="s">
        <v>38</v>
      </c>
      <c r="B38" s="16"/>
      <c r="C38" s="33">
        <f>-B12*(1+$F$8)</f>
        <v>-51</v>
      </c>
      <c r="D38" s="33">
        <f t="shared" si="1"/>
        <v>-52.02</v>
      </c>
      <c r="E38" s="33">
        <f t="shared" si="1"/>
        <v>-53.060400000000001</v>
      </c>
      <c r="F38" s="33">
        <f t="shared" si="1"/>
        <v>-54.121608000000002</v>
      </c>
      <c r="G38" s="33">
        <f t="shared" si="1"/>
        <v>-55.204040160000005</v>
      </c>
      <c r="H38" s="33">
        <f t="shared" si="1"/>
        <v>-56.308120963200004</v>
      </c>
      <c r="I38" s="33">
        <f t="shared" si="1"/>
        <v>-57.434283382464002</v>
      </c>
      <c r="J38" s="33">
        <f t="shared" si="1"/>
        <v>-58.582969050113284</v>
      </c>
      <c r="K38" s="33">
        <f t="shared" si="1"/>
        <v>-59.754628431115549</v>
      </c>
      <c r="L38" s="33">
        <f t="shared" si="1"/>
        <v>-60.949720999737863</v>
      </c>
      <c r="M38" s="6"/>
      <c r="N38" s="6"/>
      <c r="O38" s="6"/>
      <c r="P38" s="6"/>
      <c r="Q38" s="6"/>
      <c r="R38" s="6"/>
      <c r="S38" s="6"/>
      <c r="T38" s="6"/>
    </row>
    <row r="39" spans="1:20" x14ac:dyDescent="0.35">
      <c r="A39" s="7" t="s">
        <v>45</v>
      </c>
      <c r="B39" s="6"/>
      <c r="C39" s="34">
        <f>SUM(C36:C38)</f>
        <v>1610.6990000000001</v>
      </c>
      <c r="D39" s="34">
        <f>SUM(D36:D38)</f>
        <v>1660.4229800000001</v>
      </c>
      <c r="E39" s="34">
        <f>SUM(E36:E38)</f>
        <v>1711.6667395999998</v>
      </c>
      <c r="F39" s="34">
        <f>SUM(F36:F38)</f>
        <v>1764.476433392</v>
      </c>
      <c r="G39" s="34">
        <f t="shared" ref="G39:K39" si="2">SUM(G36:G38)</f>
        <v>1818.8996118298398</v>
      </c>
      <c r="H39" s="34">
        <f t="shared" si="2"/>
        <v>1874.9852633295366</v>
      </c>
      <c r="I39" s="34">
        <f t="shared" si="2"/>
        <v>1932.7838576371205</v>
      </c>
      <c r="J39" s="34">
        <f t="shared" si="2"/>
        <v>1992.347390502086</v>
      </c>
      <c r="K39" s="34">
        <f t="shared" si="2"/>
        <v>2053.7294296957166</v>
      </c>
      <c r="L39" s="34">
        <f>SUM(L36:L38)</f>
        <v>2116.9851624147282</v>
      </c>
      <c r="M39" s="6"/>
      <c r="N39" s="6"/>
      <c r="O39" s="6"/>
      <c r="P39" s="6"/>
      <c r="Q39" s="6"/>
      <c r="R39" s="6"/>
      <c r="S39" s="6"/>
      <c r="T39" s="6"/>
    </row>
    <row r="40" spans="1:20" x14ac:dyDescent="0.35">
      <c r="A40" s="16" t="s">
        <v>43</v>
      </c>
      <c r="B40" s="16"/>
      <c r="C40" s="33">
        <f>($B$30+$B$31)*C66</f>
        <v>-625</v>
      </c>
      <c r="D40" s="33">
        <f>($B$30+$B$31)*D66</f>
        <v>-625</v>
      </c>
      <c r="E40" s="33">
        <f>($B$30+$B$31)*E66</f>
        <v>-625</v>
      </c>
      <c r="F40" s="33">
        <f>($B$30+$B$31)*F66</f>
        <v>-625</v>
      </c>
      <c r="G40" s="33">
        <f t="shared" ref="G40:K40" si="3">($B$30+$B$31)*G66</f>
        <v>-625</v>
      </c>
      <c r="H40" s="33">
        <f t="shared" si="3"/>
        <v>-625</v>
      </c>
      <c r="I40" s="33">
        <f t="shared" si="3"/>
        <v>-625</v>
      </c>
      <c r="J40" s="33">
        <f t="shared" si="3"/>
        <v>-625</v>
      </c>
      <c r="K40" s="33">
        <f t="shared" si="3"/>
        <v>-625</v>
      </c>
      <c r="L40" s="33">
        <f>($B$30+$B$31)*L66</f>
        <v>-625</v>
      </c>
      <c r="M40" s="6"/>
      <c r="N40" s="6"/>
      <c r="O40" s="6"/>
      <c r="P40" s="6"/>
      <c r="Q40" s="6"/>
      <c r="R40" s="6"/>
      <c r="S40" s="6"/>
      <c r="T40" s="6"/>
    </row>
    <row r="41" spans="1:20" x14ac:dyDescent="0.35">
      <c r="A41" s="7" t="s">
        <v>48</v>
      </c>
      <c r="B41" s="6"/>
      <c r="C41" s="34">
        <f>C39+C40</f>
        <v>985.69900000000007</v>
      </c>
      <c r="D41" s="34">
        <f>D39+D40</f>
        <v>1035.4229800000001</v>
      </c>
      <c r="E41" s="34">
        <f t="shared" ref="E41:L41" si="4">E39+E40</f>
        <v>1086.6667395999998</v>
      </c>
      <c r="F41" s="34">
        <f t="shared" si="4"/>
        <v>1139.476433392</v>
      </c>
      <c r="G41" s="34">
        <f t="shared" si="4"/>
        <v>1193.8996118298398</v>
      </c>
      <c r="H41" s="34">
        <f t="shared" si="4"/>
        <v>1249.9852633295366</v>
      </c>
      <c r="I41" s="34">
        <f t="shared" si="4"/>
        <v>1307.7838576371205</v>
      </c>
      <c r="J41" s="34">
        <f t="shared" si="4"/>
        <v>1367.347390502086</v>
      </c>
      <c r="K41" s="34">
        <f t="shared" si="4"/>
        <v>1428.7294296957166</v>
      </c>
      <c r="L41" s="34">
        <f t="shared" si="4"/>
        <v>1491.9851624147282</v>
      </c>
      <c r="M41" s="6"/>
      <c r="N41" s="6"/>
      <c r="O41" s="6"/>
      <c r="P41" s="6"/>
      <c r="Q41" s="6"/>
      <c r="R41" s="6"/>
      <c r="S41" s="6"/>
      <c r="T41" s="6"/>
    </row>
    <row r="42" spans="1:20" x14ac:dyDescent="0.35">
      <c r="A42" s="8" t="s">
        <v>112</v>
      </c>
      <c r="B42" s="8"/>
      <c r="C42" s="52">
        <f>IF(B41+B42&lt;0,B41+B42,0)</f>
        <v>0</v>
      </c>
      <c r="D42" s="52">
        <f>IF(C41+C42&lt;0,C41+C42,0)</f>
        <v>0</v>
      </c>
      <c r="E42" s="52">
        <f t="shared" ref="E42:L42" si="5">IF(D41+D42&lt;0,D41+D42,0)</f>
        <v>0</v>
      </c>
      <c r="F42" s="52">
        <f>IF(E41+E42&lt;0,E41+E42,0)</f>
        <v>0</v>
      </c>
      <c r="G42" s="52">
        <f>IF(F41+F42&lt;0,F41+F42,0)</f>
        <v>0</v>
      </c>
      <c r="H42" s="52">
        <f t="shared" si="5"/>
        <v>0</v>
      </c>
      <c r="I42" s="52">
        <f t="shared" si="5"/>
        <v>0</v>
      </c>
      <c r="J42" s="52">
        <f t="shared" si="5"/>
        <v>0</v>
      </c>
      <c r="K42" s="52">
        <f t="shared" si="5"/>
        <v>0</v>
      </c>
      <c r="L42" s="52">
        <f t="shared" si="5"/>
        <v>0</v>
      </c>
      <c r="M42" s="6"/>
      <c r="N42" s="6"/>
      <c r="O42" s="6"/>
      <c r="P42" s="6"/>
      <c r="Q42" s="6"/>
      <c r="R42" s="6"/>
      <c r="S42" s="6"/>
      <c r="T42" s="6"/>
    </row>
    <row r="43" spans="1:20" x14ac:dyDescent="0.35">
      <c r="A43" s="16" t="s">
        <v>46</v>
      </c>
      <c r="B43" s="16"/>
      <c r="C43" s="33">
        <f t="shared" ref="C43:K43" si="6">IF(C41+C42&lt;0,0,-(C41+C42)*$B$13)</f>
        <v>-49.284950000000009</v>
      </c>
      <c r="D43" s="33">
        <f t="shared" si="6"/>
        <v>-51.771149000000008</v>
      </c>
      <c r="E43" s="33">
        <f t="shared" si="6"/>
        <v>-54.333336979999991</v>
      </c>
      <c r="F43" s="33">
        <f t="shared" si="6"/>
        <v>-56.973821669599999</v>
      </c>
      <c r="G43" s="33">
        <f t="shared" si="6"/>
        <v>-59.694980591491998</v>
      </c>
      <c r="H43" s="33">
        <f t="shared" si="6"/>
        <v>-62.49926316647683</v>
      </c>
      <c r="I43" s="33">
        <f t="shared" si="6"/>
        <v>-65.389192881856033</v>
      </c>
      <c r="J43" s="33">
        <f t="shared" si="6"/>
        <v>-68.367369525104309</v>
      </c>
      <c r="K43" s="33">
        <f t="shared" si="6"/>
        <v>-71.436471484785827</v>
      </c>
      <c r="L43" s="33">
        <f>IF(L41+L42&lt;0,0,-(L41+L42)*$B$13)</f>
        <v>-74.599258120736408</v>
      </c>
      <c r="M43" s="6"/>
      <c r="N43" s="6"/>
      <c r="O43" s="6"/>
      <c r="P43" s="6"/>
      <c r="Q43" s="6"/>
      <c r="R43" s="6"/>
      <c r="S43" s="6"/>
      <c r="T43" s="6"/>
    </row>
    <row r="44" spans="1:20" x14ac:dyDescent="0.35">
      <c r="A44" s="7" t="s">
        <v>49</v>
      </c>
      <c r="B44" s="6"/>
      <c r="C44" s="34">
        <f>C41+C43</f>
        <v>936.41405000000009</v>
      </c>
      <c r="D44" s="34">
        <f t="shared" ref="D44:L44" si="7">D41+D43</f>
        <v>983.65183100000002</v>
      </c>
      <c r="E44" s="34">
        <f t="shared" si="7"/>
        <v>1032.3334026199998</v>
      </c>
      <c r="F44" s="34">
        <f t="shared" si="7"/>
        <v>1082.5026117223999</v>
      </c>
      <c r="G44" s="34">
        <f t="shared" si="7"/>
        <v>1134.2046312383479</v>
      </c>
      <c r="H44" s="34">
        <f t="shared" si="7"/>
        <v>1187.4860001630598</v>
      </c>
      <c r="I44" s="34">
        <f t="shared" si="7"/>
        <v>1242.3946647552646</v>
      </c>
      <c r="J44" s="34">
        <f t="shared" si="7"/>
        <v>1298.9800209769817</v>
      </c>
      <c r="K44" s="34">
        <f t="shared" si="7"/>
        <v>1357.2929582109307</v>
      </c>
      <c r="L44" s="34">
        <f t="shared" si="7"/>
        <v>1417.3859042939916</v>
      </c>
      <c r="M44" s="6"/>
      <c r="N44" s="6"/>
      <c r="O44" s="6"/>
      <c r="P44" s="6"/>
      <c r="Q44" s="6"/>
      <c r="R44" s="6"/>
      <c r="S44" s="6"/>
      <c r="T44" s="6"/>
    </row>
    <row r="45" spans="1:20" x14ac:dyDescent="0.35">
      <c r="A45" s="16" t="s">
        <v>55</v>
      </c>
      <c r="B45" s="16"/>
      <c r="C45" s="33">
        <f>-C40</f>
        <v>625</v>
      </c>
      <c r="D45" s="33">
        <f t="shared" ref="D45:L45" si="8">-D40</f>
        <v>625</v>
      </c>
      <c r="E45" s="33">
        <f t="shared" si="8"/>
        <v>625</v>
      </c>
      <c r="F45" s="33">
        <f t="shared" si="8"/>
        <v>625</v>
      </c>
      <c r="G45" s="33">
        <f t="shared" si="8"/>
        <v>625</v>
      </c>
      <c r="H45" s="33">
        <f t="shared" si="8"/>
        <v>625</v>
      </c>
      <c r="I45" s="33">
        <f t="shared" si="8"/>
        <v>625</v>
      </c>
      <c r="J45" s="33">
        <f t="shared" si="8"/>
        <v>625</v>
      </c>
      <c r="K45" s="33">
        <f t="shared" si="8"/>
        <v>625</v>
      </c>
      <c r="L45" s="33">
        <f t="shared" si="8"/>
        <v>625</v>
      </c>
      <c r="M45" s="6"/>
      <c r="N45" s="6"/>
      <c r="O45" s="6"/>
      <c r="P45" s="6"/>
      <c r="Q45" s="6"/>
      <c r="R45" s="6"/>
      <c r="S45" s="6"/>
      <c r="T45" s="6"/>
    </row>
    <row r="46" spans="1:20" x14ac:dyDescent="0.35">
      <c r="A46" s="7" t="s">
        <v>58</v>
      </c>
      <c r="B46" s="6"/>
      <c r="C46" s="34">
        <f>C44+C45</f>
        <v>1561.4140500000001</v>
      </c>
      <c r="D46" s="34">
        <f t="shared" ref="D46:L46" si="9">D44+D45</f>
        <v>1608.6518310000001</v>
      </c>
      <c r="E46" s="34">
        <f t="shared" si="9"/>
        <v>1657.3334026199998</v>
      </c>
      <c r="F46" s="34">
        <f t="shared" si="9"/>
        <v>1707.5026117223999</v>
      </c>
      <c r="G46" s="34">
        <f t="shared" si="9"/>
        <v>1759.2046312383479</v>
      </c>
      <c r="H46" s="34">
        <f t="shared" si="9"/>
        <v>1812.4860001630598</v>
      </c>
      <c r="I46" s="34">
        <f t="shared" si="9"/>
        <v>1867.3946647552646</v>
      </c>
      <c r="J46" s="34">
        <f t="shared" si="9"/>
        <v>1923.9800209769817</v>
      </c>
      <c r="K46" s="34">
        <f t="shared" si="9"/>
        <v>1982.2929582109307</v>
      </c>
      <c r="L46" s="34">
        <f t="shared" si="9"/>
        <v>2042.3859042939916</v>
      </c>
      <c r="M46" s="6"/>
      <c r="N46" s="6"/>
      <c r="O46" s="6"/>
      <c r="P46" s="6"/>
      <c r="Q46" s="6"/>
      <c r="R46" s="6"/>
      <c r="S46" s="6"/>
      <c r="T46" s="6"/>
    </row>
    <row r="47" spans="1:20" ht="6.65" customHeight="1" x14ac:dyDescent="0.35">
      <c r="A47" s="6"/>
      <c r="B47" s="6"/>
      <c r="C47" s="32"/>
      <c r="D47" s="32"/>
      <c r="E47" s="32"/>
      <c r="F47" s="32"/>
      <c r="G47" s="32"/>
      <c r="H47" s="32"/>
      <c r="I47" s="32"/>
      <c r="J47" s="32"/>
      <c r="K47" s="32"/>
      <c r="L47" s="32"/>
      <c r="M47" s="6"/>
      <c r="N47" s="6"/>
      <c r="O47" s="6"/>
      <c r="P47" s="6"/>
      <c r="Q47" s="6"/>
      <c r="R47" s="6"/>
      <c r="S47" s="6"/>
      <c r="T47" s="6"/>
    </row>
    <row r="48" spans="1:20" x14ac:dyDescent="0.35">
      <c r="A48" s="15" t="s">
        <v>51</v>
      </c>
      <c r="B48" s="6"/>
      <c r="C48" s="32"/>
      <c r="D48" s="32"/>
      <c r="E48" s="32"/>
      <c r="F48" s="32"/>
      <c r="G48" s="32"/>
      <c r="H48" s="32"/>
      <c r="I48" s="32"/>
      <c r="J48" s="32"/>
      <c r="K48" s="32"/>
      <c r="L48" s="32"/>
      <c r="M48" s="6"/>
      <c r="N48" s="6"/>
      <c r="O48" s="6"/>
      <c r="P48" s="6"/>
      <c r="Q48" s="6"/>
      <c r="R48" s="6"/>
      <c r="S48" s="6"/>
      <c r="T48" s="6"/>
    </row>
    <row r="49" spans="1:20" x14ac:dyDescent="0.35">
      <c r="A49" s="6" t="s">
        <v>108</v>
      </c>
      <c r="B49" s="6"/>
      <c r="C49" s="32"/>
      <c r="D49" s="32"/>
      <c r="E49" s="32"/>
      <c r="F49" s="32"/>
      <c r="G49" s="32"/>
      <c r="H49" s="32"/>
      <c r="I49" s="32"/>
      <c r="J49" s="32"/>
      <c r="K49" s="32"/>
      <c r="L49" s="32">
        <f>$B$5</f>
        <v>32637.969212642958</v>
      </c>
      <c r="M49" s="6"/>
      <c r="N49" s="6"/>
      <c r="O49" s="6"/>
      <c r="P49" s="6"/>
      <c r="Q49" s="6"/>
      <c r="R49" s="6"/>
      <c r="S49" s="6"/>
      <c r="T49" s="6"/>
    </row>
    <row r="50" spans="1:20" x14ac:dyDescent="0.35">
      <c r="A50" s="8" t="s">
        <v>54</v>
      </c>
      <c r="B50" s="6"/>
      <c r="C50" s="32"/>
      <c r="D50" s="32"/>
      <c r="E50" s="32"/>
      <c r="F50" s="32"/>
      <c r="G50" s="32"/>
      <c r="H50" s="32"/>
      <c r="I50" s="32"/>
      <c r="J50" s="32"/>
      <c r="K50" s="32"/>
      <c r="L50" s="32">
        <f>-($B$5-L68)*$B$13</f>
        <v>-694.39846063214793</v>
      </c>
      <c r="M50" s="6"/>
      <c r="N50" s="6"/>
      <c r="O50" s="6"/>
      <c r="P50" s="6"/>
      <c r="Q50" s="6"/>
      <c r="R50" s="6"/>
      <c r="S50" s="6"/>
      <c r="T50" s="6"/>
    </row>
    <row r="51" spans="1:20" x14ac:dyDescent="0.35">
      <c r="A51" s="16" t="s">
        <v>57</v>
      </c>
      <c r="B51" s="16"/>
      <c r="C51" s="33"/>
      <c r="D51" s="33"/>
      <c r="E51" s="33"/>
      <c r="F51" s="33"/>
      <c r="G51" s="33"/>
      <c r="H51" s="33"/>
      <c r="I51" s="33"/>
      <c r="J51" s="33"/>
      <c r="K51" s="33"/>
      <c r="L51" s="33">
        <f t="shared" ref="L51" si="10">$B$7</f>
        <v>0</v>
      </c>
      <c r="M51" s="6"/>
      <c r="N51" s="6"/>
      <c r="O51" s="6"/>
      <c r="P51" s="6"/>
      <c r="Q51" s="6"/>
      <c r="R51" s="6"/>
      <c r="S51" s="6"/>
      <c r="T51" s="6"/>
    </row>
    <row r="52" spans="1:20" x14ac:dyDescent="0.35">
      <c r="A52" s="7" t="s">
        <v>60</v>
      </c>
      <c r="B52" s="6"/>
      <c r="C52" s="32"/>
      <c r="D52" s="32"/>
      <c r="E52" s="32"/>
      <c r="F52" s="32"/>
      <c r="G52" s="32"/>
      <c r="H52" s="32"/>
      <c r="I52" s="32"/>
      <c r="J52" s="32"/>
      <c r="K52" s="32"/>
      <c r="L52" s="34">
        <f t="shared" ref="L52" si="11">SUM(L49:L51)</f>
        <v>31943.570752010812</v>
      </c>
      <c r="M52" s="6"/>
      <c r="N52" s="6"/>
      <c r="O52" s="6"/>
      <c r="P52" s="6"/>
      <c r="Q52" s="6"/>
      <c r="R52" s="6"/>
      <c r="S52" s="6"/>
      <c r="T52" s="6"/>
    </row>
    <row r="53" spans="1:20" ht="9.15" customHeight="1" x14ac:dyDescent="0.35">
      <c r="A53" s="6"/>
      <c r="B53" s="6"/>
      <c r="C53" s="6"/>
      <c r="D53" s="6"/>
      <c r="E53" s="6"/>
      <c r="F53" s="6"/>
      <c r="G53" s="6"/>
      <c r="H53" s="6"/>
      <c r="I53" s="6"/>
      <c r="J53" s="6"/>
      <c r="K53" s="6"/>
      <c r="L53" s="6"/>
      <c r="M53" s="6"/>
      <c r="N53" s="6"/>
      <c r="O53" s="6"/>
      <c r="P53" s="6"/>
      <c r="Q53" s="6"/>
      <c r="R53" s="6"/>
      <c r="S53" s="6"/>
      <c r="T53" s="6"/>
    </row>
    <row r="54" spans="1:20" x14ac:dyDescent="0.35">
      <c r="A54" s="27" t="s">
        <v>61</v>
      </c>
      <c r="B54" s="28">
        <f>B33</f>
        <v>-25000</v>
      </c>
      <c r="C54" s="28">
        <f>C46</f>
        <v>1561.4140500000001</v>
      </c>
      <c r="D54" s="28">
        <f t="shared" ref="D54:E54" si="12">D46</f>
        <v>1608.6518310000001</v>
      </c>
      <c r="E54" s="28">
        <f t="shared" si="12"/>
        <v>1657.3334026199998</v>
      </c>
      <c r="F54" s="28">
        <f>F46+F52</f>
        <v>1707.5026117223999</v>
      </c>
      <c r="G54" s="28">
        <f t="shared" ref="G54:L54" si="13">G46+G52</f>
        <v>1759.2046312383479</v>
      </c>
      <c r="H54" s="28">
        <f t="shared" si="13"/>
        <v>1812.4860001630598</v>
      </c>
      <c r="I54" s="28">
        <f t="shared" si="13"/>
        <v>1867.3946647552646</v>
      </c>
      <c r="J54" s="28">
        <f t="shared" si="13"/>
        <v>1923.9800209769817</v>
      </c>
      <c r="K54" s="28">
        <f t="shared" si="13"/>
        <v>1982.2929582109307</v>
      </c>
      <c r="L54" s="28">
        <f t="shared" si="13"/>
        <v>33985.956656304807</v>
      </c>
      <c r="M54" s="6"/>
      <c r="N54" s="6"/>
      <c r="O54" s="6"/>
      <c r="P54" s="6"/>
      <c r="Q54" s="6"/>
      <c r="R54" s="6"/>
      <c r="S54" s="6"/>
      <c r="T54" s="6"/>
    </row>
    <row r="55" spans="1:20" outlineLevel="1" x14ac:dyDescent="0.35">
      <c r="A55" s="7" t="s">
        <v>29</v>
      </c>
      <c r="B55" s="46">
        <f>B54/(1+$E$59)^B28</f>
        <v>-25000</v>
      </c>
      <c r="C55" s="46">
        <f>C54/(1+$E$59)^C28</f>
        <v>1469.1749911788195</v>
      </c>
      <c r="D55" s="46">
        <f>D54/(1+$E$59)^D28</f>
        <v>1424.2064418060579</v>
      </c>
      <c r="E55" s="46">
        <f>E54/(1+$E$59)^E28</f>
        <v>1380.6265336720346</v>
      </c>
      <c r="F55" s="46">
        <f>F54/(1+$E$59)^F28</f>
        <v>1338.3914481088796</v>
      </c>
      <c r="G55" s="46">
        <f t="shared" ref="G55:L55" si="14">G54/(1+$E$59)^G28</f>
        <v>1297.458812221349</v>
      </c>
      <c r="H55" s="46">
        <f t="shared" si="14"/>
        <v>1257.7876472808587</v>
      </c>
      <c r="I55" s="46">
        <f t="shared" si="14"/>
        <v>1219.3383191837511</v>
      </c>
      <c r="J55" s="46">
        <f t="shared" si="14"/>
        <v>1182.0724908798682</v>
      </c>
      <c r="K55" s="46">
        <f t="shared" si="14"/>
        <v>1145.9530766822809</v>
      </c>
      <c r="L55" s="46">
        <f t="shared" si="14"/>
        <v>18486.467858065407</v>
      </c>
      <c r="M55" s="6"/>
      <c r="N55" s="6"/>
      <c r="O55" s="6"/>
      <c r="P55" s="6"/>
      <c r="Q55" s="6"/>
      <c r="R55" s="6"/>
      <c r="S55" s="6"/>
      <c r="T55" s="6"/>
    </row>
    <row r="56" spans="1:20" outlineLevel="1" x14ac:dyDescent="0.35">
      <c r="A56" s="6" t="s">
        <v>66</v>
      </c>
      <c r="B56" s="47">
        <f>B54</f>
        <v>-25000</v>
      </c>
      <c r="C56" s="47">
        <f t="shared" ref="C56:K57" si="15">B56+C54</f>
        <v>-23438.585950000001</v>
      </c>
      <c r="D56" s="47">
        <f t="shared" si="15"/>
        <v>-21829.934119000001</v>
      </c>
      <c r="E56" s="47">
        <f t="shared" si="15"/>
        <v>-20172.600716380002</v>
      </c>
      <c r="F56" s="47">
        <f t="shared" si="15"/>
        <v>-18465.098104657602</v>
      </c>
      <c r="G56" s="47">
        <f t="shared" si="15"/>
        <v>-16705.893473419255</v>
      </c>
      <c r="H56" s="47">
        <f t="shared" si="15"/>
        <v>-14893.407473256195</v>
      </c>
      <c r="I56" s="47">
        <f t="shared" si="15"/>
        <v>-13026.012808500931</v>
      </c>
      <c r="J56" s="47">
        <f t="shared" si="15"/>
        <v>-11102.032787523949</v>
      </c>
      <c r="K56" s="47">
        <f t="shared" si="15"/>
        <v>-9119.7398293130191</v>
      </c>
      <c r="L56" s="47">
        <f>K56+L54</f>
        <v>24866.216826991789</v>
      </c>
      <c r="M56" s="6"/>
      <c r="N56" s="6"/>
      <c r="O56" s="6"/>
      <c r="P56" s="6"/>
      <c r="Q56" s="6"/>
      <c r="R56" s="6"/>
      <c r="S56" s="6"/>
      <c r="T56" s="6"/>
    </row>
    <row r="57" spans="1:20" outlineLevel="1" x14ac:dyDescent="0.35">
      <c r="A57" s="6" t="s">
        <v>67</v>
      </c>
      <c r="B57" s="47">
        <f>B55</f>
        <v>-25000</v>
      </c>
      <c r="C57" s="47">
        <f t="shared" si="15"/>
        <v>-23530.825008821179</v>
      </c>
      <c r="D57" s="47">
        <f t="shared" si="15"/>
        <v>-22106.618567015121</v>
      </c>
      <c r="E57" s="47">
        <f t="shared" si="15"/>
        <v>-20725.992033343085</v>
      </c>
      <c r="F57" s="47">
        <f t="shared" si="15"/>
        <v>-19387.600585234206</v>
      </c>
      <c r="G57" s="47">
        <f t="shared" si="15"/>
        <v>-18090.141773012856</v>
      </c>
      <c r="H57" s="47">
        <f t="shared" si="15"/>
        <v>-16832.354125731996</v>
      </c>
      <c r="I57" s="47">
        <f t="shared" si="15"/>
        <v>-15613.015806548245</v>
      </c>
      <c r="J57" s="47">
        <f t="shared" si="15"/>
        <v>-14430.943315668377</v>
      </c>
      <c r="K57" s="47">
        <f t="shared" si="15"/>
        <v>-13284.990238986096</v>
      </c>
      <c r="L57" s="47">
        <f>K57+L55</f>
        <v>5201.4776190793109</v>
      </c>
      <c r="M57" s="6"/>
      <c r="N57" s="6"/>
      <c r="O57" s="6"/>
      <c r="P57" s="6"/>
      <c r="Q57" s="6"/>
      <c r="R57" s="6"/>
      <c r="S57" s="6"/>
      <c r="T57" s="6"/>
    </row>
    <row r="58" spans="1:20" ht="15.65" customHeight="1" x14ac:dyDescent="0.35">
      <c r="A58" s="6"/>
      <c r="B58" s="6"/>
      <c r="C58" s="6"/>
      <c r="D58" s="6"/>
      <c r="E58" s="6"/>
      <c r="F58" s="6"/>
      <c r="G58" s="6"/>
      <c r="H58" s="6"/>
      <c r="I58" s="6"/>
      <c r="J58" s="6"/>
      <c r="K58" s="6"/>
      <c r="L58" s="6"/>
      <c r="M58" s="6"/>
      <c r="N58" s="6"/>
      <c r="O58" s="6"/>
      <c r="P58" s="6"/>
      <c r="Q58" s="6"/>
      <c r="R58" s="6"/>
      <c r="S58" s="6"/>
      <c r="T58" s="6"/>
    </row>
    <row r="59" spans="1:20" x14ac:dyDescent="0.35">
      <c r="A59" s="21" t="s">
        <v>24</v>
      </c>
      <c r="B59" s="22">
        <f>SUM(B55:L55)</f>
        <v>5201.4776190793109</v>
      </c>
      <c r="C59" s="25"/>
      <c r="D59" s="21" t="s">
        <v>65</v>
      </c>
      <c r="E59" s="23">
        <f>F27</f>
        <v>6.2782894736842107E-2</v>
      </c>
      <c r="F59" s="6" t="s">
        <v>218</v>
      </c>
      <c r="G59" s="6"/>
      <c r="H59" s="6"/>
      <c r="I59" s="6"/>
      <c r="J59" s="6"/>
      <c r="K59" s="6"/>
      <c r="L59" s="6"/>
      <c r="M59" s="6"/>
      <c r="N59" s="6"/>
      <c r="O59" s="6"/>
      <c r="P59" s="6"/>
      <c r="Q59" s="6"/>
      <c r="R59" s="6"/>
      <c r="S59" s="6"/>
      <c r="T59" s="6"/>
    </row>
    <row r="60" spans="1:20" x14ac:dyDescent="0.35">
      <c r="A60" s="21" t="s">
        <v>62</v>
      </c>
      <c r="B60" s="23">
        <f>IRR(B54:L54)</f>
        <v>8.8620047502652621E-2</v>
      </c>
      <c r="C60" s="25"/>
      <c r="D60" s="25"/>
      <c r="E60" s="25"/>
      <c r="F60" s="6"/>
      <c r="G60" s="13"/>
      <c r="H60" s="6"/>
      <c r="I60" s="6"/>
      <c r="J60" s="6"/>
      <c r="K60" s="6"/>
      <c r="L60" s="6"/>
      <c r="M60" s="6"/>
      <c r="N60" s="6"/>
      <c r="O60" s="6"/>
      <c r="P60" s="6"/>
      <c r="Q60" s="6"/>
      <c r="R60" s="6"/>
      <c r="S60" s="6"/>
      <c r="T60" s="6"/>
    </row>
    <row r="61" spans="1:20" x14ac:dyDescent="0.35">
      <c r="A61" s="21" t="s">
        <v>109</v>
      </c>
      <c r="B61" s="23">
        <f>MIRR(B54:L54,E59,E59)</f>
        <v>8.3062138732415303E-2</v>
      </c>
      <c r="C61" s="25"/>
      <c r="D61" s="25"/>
      <c r="E61" s="25"/>
      <c r="F61" s="6"/>
      <c r="G61" s="13"/>
      <c r="H61" s="6"/>
      <c r="I61" s="6"/>
      <c r="J61" s="6"/>
      <c r="K61" s="6"/>
      <c r="L61" s="6"/>
      <c r="M61" s="6"/>
      <c r="N61" s="6"/>
      <c r="O61" s="6"/>
      <c r="P61" s="6"/>
      <c r="Q61" s="6"/>
      <c r="R61" s="6"/>
      <c r="S61" s="6"/>
      <c r="T61" s="6"/>
    </row>
    <row r="62" spans="1:20" x14ac:dyDescent="0.35">
      <c r="A62" s="21" t="s">
        <v>63</v>
      </c>
      <c r="B62" s="24">
        <f>MATCH(0,B56:L56)-1+-INDEX(B56:L56,1,MATCH(0,B56:L56))/INDEX(C54:L54,1,MATCH(0,B56:L56))</f>
        <v>9.2683384764342414</v>
      </c>
      <c r="C62" s="25"/>
      <c r="D62" s="25"/>
      <c r="E62" s="25"/>
      <c r="F62" s="6"/>
      <c r="G62" s="6"/>
      <c r="H62" s="6"/>
      <c r="I62" s="6"/>
      <c r="J62" s="6"/>
      <c r="K62" s="6"/>
      <c r="L62" s="6"/>
      <c r="M62" s="6"/>
      <c r="N62" s="6"/>
      <c r="O62" s="6"/>
      <c r="P62" s="6"/>
      <c r="Q62" s="6"/>
      <c r="R62" s="6"/>
      <c r="S62" s="6"/>
      <c r="T62" s="6"/>
    </row>
    <row r="63" spans="1:20" x14ac:dyDescent="0.35">
      <c r="A63" s="21" t="s">
        <v>64</v>
      </c>
      <c r="B63" s="24">
        <f>MATCH(0,B57:L57)-1+-INDEX(B57:L57,1,MATCH(0,B57:L57))/INDEX(C55:L55,1,MATCH(0,B57:L57))</f>
        <v>9.7186332370783326</v>
      </c>
      <c r="C63" s="25"/>
      <c r="D63" s="25"/>
      <c r="E63" s="25"/>
      <c r="F63" s="6"/>
      <c r="G63" s="6"/>
      <c r="H63" s="6"/>
      <c r="I63" s="6"/>
      <c r="J63" s="6"/>
      <c r="K63" s="6"/>
      <c r="L63" s="6"/>
      <c r="M63" s="6"/>
      <c r="N63" s="6"/>
      <c r="O63" s="6"/>
      <c r="P63" s="6"/>
      <c r="Q63" s="6"/>
      <c r="R63" s="6"/>
      <c r="S63" s="6"/>
      <c r="T63" s="6"/>
    </row>
    <row r="64" spans="1:20" x14ac:dyDescent="0.35">
      <c r="A64" s="6"/>
      <c r="B64" s="6"/>
      <c r="C64" s="6"/>
      <c r="D64" s="6"/>
      <c r="E64" s="6"/>
      <c r="F64" s="6"/>
      <c r="G64" s="6"/>
      <c r="H64" s="6"/>
      <c r="I64" s="6"/>
      <c r="J64" s="6"/>
      <c r="K64" s="6"/>
      <c r="L64" s="6"/>
      <c r="M64" s="6"/>
      <c r="N64" s="6"/>
      <c r="O64" s="6"/>
      <c r="P64" s="6"/>
      <c r="Q64" s="6"/>
      <c r="R64" s="6"/>
      <c r="S64" s="6"/>
      <c r="T64" s="6"/>
    </row>
    <row r="65" spans="1:20" x14ac:dyDescent="0.35">
      <c r="A65" s="17" t="s">
        <v>50</v>
      </c>
      <c r="B65" s="17"/>
      <c r="C65" s="17"/>
      <c r="D65" s="17"/>
      <c r="E65" s="17"/>
      <c r="F65" s="17"/>
      <c r="G65" s="17"/>
      <c r="H65" s="17"/>
      <c r="I65" s="17"/>
      <c r="J65" s="17"/>
      <c r="K65" s="17"/>
      <c r="L65" s="17"/>
      <c r="M65" s="6"/>
      <c r="N65" s="6"/>
      <c r="O65" s="6"/>
      <c r="P65" s="6"/>
      <c r="Q65" s="6"/>
      <c r="R65" s="6"/>
      <c r="S65" s="6"/>
      <c r="T65" s="6"/>
    </row>
    <row r="66" spans="1:20" x14ac:dyDescent="0.35">
      <c r="A66" s="17" t="s">
        <v>100</v>
      </c>
      <c r="B66" s="17"/>
      <c r="C66" s="29">
        <f>$B$14</f>
        <v>2.5000000000000001E-2</v>
      </c>
      <c r="D66" s="29">
        <f>C66</f>
        <v>2.5000000000000001E-2</v>
      </c>
      <c r="E66" s="29">
        <f>D66</f>
        <v>2.5000000000000001E-2</v>
      </c>
      <c r="F66" s="29">
        <f>E66</f>
        <v>2.5000000000000001E-2</v>
      </c>
      <c r="G66" s="29">
        <f>F66</f>
        <v>2.5000000000000001E-2</v>
      </c>
      <c r="H66" s="29">
        <f>G66</f>
        <v>2.5000000000000001E-2</v>
      </c>
      <c r="I66" s="29">
        <f t="shared" ref="I66:K66" si="16">H66</f>
        <v>2.5000000000000001E-2</v>
      </c>
      <c r="J66" s="29">
        <f t="shared" si="16"/>
        <v>2.5000000000000001E-2</v>
      </c>
      <c r="K66" s="29">
        <f t="shared" si="16"/>
        <v>2.5000000000000001E-2</v>
      </c>
      <c r="L66" s="29">
        <f>K66</f>
        <v>2.5000000000000001E-2</v>
      </c>
      <c r="M66" s="6"/>
      <c r="N66" s="6"/>
      <c r="O66" s="6"/>
      <c r="P66" s="6"/>
      <c r="Q66" s="6"/>
      <c r="R66" s="6"/>
      <c r="S66" s="6"/>
      <c r="T66" s="6"/>
    </row>
    <row r="67" spans="1:20" x14ac:dyDescent="0.35">
      <c r="A67" s="17"/>
      <c r="B67" s="17"/>
      <c r="C67" s="17"/>
      <c r="D67" s="17"/>
      <c r="E67" s="17"/>
      <c r="F67" s="17"/>
      <c r="G67" s="17"/>
      <c r="H67" s="17"/>
      <c r="I67" s="17"/>
      <c r="J67" s="17"/>
      <c r="K67" s="17"/>
      <c r="L67" s="17"/>
      <c r="M67" s="6"/>
      <c r="N67" s="6"/>
      <c r="O67" s="6"/>
      <c r="P67" s="6"/>
      <c r="Q67" s="6"/>
      <c r="R67" s="6"/>
      <c r="S67" s="6"/>
      <c r="T67" s="6"/>
    </row>
    <row r="68" spans="1:20" x14ac:dyDescent="0.35">
      <c r="A68" s="17" t="s">
        <v>53</v>
      </c>
      <c r="B68" s="48">
        <f>B3+B4</f>
        <v>25000</v>
      </c>
      <c r="C68" s="48">
        <f>B68-C66*$B$68</f>
        <v>24375</v>
      </c>
      <c r="D68" s="48">
        <f t="shared" ref="D68:K68" si="17">C68-D66*$B$68</f>
        <v>23750</v>
      </c>
      <c r="E68" s="48">
        <f t="shared" si="17"/>
        <v>23125</v>
      </c>
      <c r="F68" s="48">
        <f t="shared" si="17"/>
        <v>22500</v>
      </c>
      <c r="G68" s="48">
        <f t="shared" si="17"/>
        <v>21875</v>
      </c>
      <c r="H68" s="48">
        <f t="shared" si="17"/>
        <v>21250</v>
      </c>
      <c r="I68" s="48">
        <f t="shared" si="17"/>
        <v>20625</v>
      </c>
      <c r="J68" s="48">
        <f t="shared" si="17"/>
        <v>20000</v>
      </c>
      <c r="K68" s="48">
        <f t="shared" si="17"/>
        <v>19375</v>
      </c>
      <c r="L68" s="48">
        <f>K68-L66*$B$68</f>
        <v>18750</v>
      </c>
      <c r="M68" s="6"/>
      <c r="N68" s="6"/>
      <c r="O68" s="6"/>
      <c r="P68" s="6"/>
      <c r="Q68" s="6"/>
      <c r="R68" s="6"/>
      <c r="S68" s="6"/>
      <c r="T68" s="6"/>
    </row>
    <row r="69" spans="1:20" x14ac:dyDescent="0.35">
      <c r="A69" s="6"/>
      <c r="B69" s="6"/>
      <c r="C69" s="6"/>
      <c r="D69" s="6"/>
      <c r="E69" s="6"/>
      <c r="F69" s="6"/>
      <c r="G69" s="6"/>
      <c r="H69" s="6"/>
      <c r="I69" s="6"/>
      <c r="J69" s="6"/>
      <c r="K69" s="6"/>
      <c r="L69" s="6"/>
      <c r="M69" s="6"/>
      <c r="N69" s="6"/>
      <c r="O69" s="6"/>
      <c r="P69" s="6"/>
      <c r="Q69" s="6"/>
      <c r="R69" s="6"/>
      <c r="S69" s="6"/>
      <c r="T69" s="6"/>
    </row>
    <row r="70" spans="1:20" x14ac:dyDescent="0.35">
      <c r="A70" s="6"/>
      <c r="B70" s="6"/>
      <c r="C70" s="6"/>
      <c r="D70" s="6"/>
      <c r="E70" s="6"/>
      <c r="F70" s="6"/>
      <c r="G70" s="6"/>
      <c r="H70" s="6"/>
      <c r="I70" s="6"/>
      <c r="J70" s="6"/>
      <c r="K70" s="6"/>
      <c r="L70" s="6"/>
      <c r="M70" s="6"/>
      <c r="N70" s="6"/>
      <c r="O70" s="6"/>
      <c r="P70" s="6"/>
      <c r="Q70" s="6"/>
      <c r="R70" s="6"/>
      <c r="S70" s="6"/>
      <c r="T70" s="6"/>
    </row>
    <row r="71" spans="1:20" ht="18.5" x14ac:dyDescent="0.45">
      <c r="A71" s="205" t="s">
        <v>237</v>
      </c>
      <c r="B71" s="205"/>
      <c r="C71" s="205"/>
      <c r="D71" s="205"/>
      <c r="E71" s="205"/>
      <c r="F71" s="205"/>
      <c r="G71" s="205"/>
      <c r="H71" s="205"/>
      <c r="I71" s="205"/>
      <c r="J71" s="205"/>
      <c r="K71" s="205"/>
      <c r="L71" s="205"/>
      <c r="M71" s="205"/>
      <c r="N71" s="205"/>
      <c r="O71" s="205"/>
      <c r="P71" s="205"/>
      <c r="Q71" s="6"/>
      <c r="R71" s="6"/>
      <c r="S71" s="6"/>
      <c r="T71" s="6"/>
    </row>
    <row r="72" spans="1:20" x14ac:dyDescent="0.35">
      <c r="A72" s="136" t="s">
        <v>239</v>
      </c>
      <c r="B72" s="152" t="s">
        <v>102</v>
      </c>
      <c r="C72" s="138" t="s">
        <v>24</v>
      </c>
      <c r="D72" s="138" t="s">
        <v>62</v>
      </c>
      <c r="E72" s="153" t="s">
        <v>238</v>
      </c>
      <c r="F72" s="139" t="s">
        <v>24</v>
      </c>
      <c r="G72" s="139" t="s">
        <v>62</v>
      </c>
      <c r="H72" s="152" t="s">
        <v>240</v>
      </c>
      <c r="I72" s="138" t="s">
        <v>24</v>
      </c>
      <c r="J72" s="138" t="s">
        <v>62</v>
      </c>
      <c r="K72" s="153" t="s">
        <v>242</v>
      </c>
      <c r="L72" s="139" t="s">
        <v>24</v>
      </c>
      <c r="M72" s="139" t="s">
        <v>62</v>
      </c>
      <c r="N72" s="152" t="s">
        <v>241</v>
      </c>
      <c r="O72" s="138" t="s">
        <v>24</v>
      </c>
      <c r="P72" s="138" t="s">
        <v>62</v>
      </c>
      <c r="Q72" s="6"/>
      <c r="R72" s="6"/>
      <c r="S72" s="6"/>
      <c r="T72" s="6"/>
    </row>
    <row r="73" spans="1:20" x14ac:dyDescent="0.35">
      <c r="A73" s="150">
        <v>0</v>
      </c>
      <c r="B73" s="53">
        <v>2000</v>
      </c>
      <c r="C73" s="140">
        <f>$B$59</f>
        <v>5201.4776190793109</v>
      </c>
      <c r="D73" s="141">
        <f>$B$60</f>
        <v>8.8620047502652621E-2</v>
      </c>
      <c r="E73" s="145">
        <v>0.5</v>
      </c>
      <c r="F73" s="146">
        <f>$B$59</f>
        <v>5201.4776190793109</v>
      </c>
      <c r="G73" s="147">
        <f>$B$60</f>
        <v>8.8620047502652621E-2</v>
      </c>
      <c r="H73" s="143">
        <v>0.85</v>
      </c>
      <c r="I73" s="140">
        <f>$B$59</f>
        <v>5201.4776190793109</v>
      </c>
      <c r="J73" s="141">
        <f>$B$60</f>
        <v>8.8620047502652621E-2</v>
      </c>
      <c r="K73" s="154">
        <v>0.1</v>
      </c>
      <c r="L73" s="146">
        <f>$B$59</f>
        <v>5201.4776190793109</v>
      </c>
      <c r="M73" s="147">
        <f>$B$60</f>
        <v>8.8620047502652621E-2</v>
      </c>
      <c r="N73" s="156">
        <v>7.0000000000000007E-2</v>
      </c>
      <c r="O73" s="140">
        <f>$B$59</f>
        <v>5201.4776190793109</v>
      </c>
      <c r="P73" s="141">
        <f>$B$60</f>
        <v>8.8620047502652621E-2</v>
      </c>
      <c r="Q73" s="6"/>
      <c r="R73" s="6"/>
      <c r="S73" s="6"/>
      <c r="T73" s="6"/>
    </row>
    <row r="74" spans="1:20" x14ac:dyDescent="0.35">
      <c r="A74" s="151">
        <v>-0.5</v>
      </c>
      <c r="B74" s="53">
        <f>$B$73*(1+$A74)</f>
        <v>1000</v>
      </c>
      <c r="C74" s="140">
        <f t="dataTable" ref="C74:D94" dt2D="0" dtr="0" r1="B8" ca="1"/>
        <v>-16.349359385407297</v>
      </c>
      <c r="D74" s="142">
        <v>6.263837333111133E-2</v>
      </c>
      <c r="E74" s="148">
        <f>$E$73*(1+$A74)</f>
        <v>0.25</v>
      </c>
      <c r="F74" s="146">
        <f t="dataTable" ref="F74:G94" dt2D="0" dtr="0" r1="B17" ca="1"/>
        <v>4036.5130715934738</v>
      </c>
      <c r="G74" s="149">
        <v>8.8620047502652621E-2</v>
      </c>
      <c r="H74" s="144">
        <f>$H$73*(1+$A74)</f>
        <v>0.42499999999999999</v>
      </c>
      <c r="I74" s="140">
        <f t="dataTable" ref="I74:J88" dt2D="0" dtr="0" r1="B10" ca="1"/>
        <v>-9721.5700946833313</v>
      </c>
      <c r="J74" s="142">
        <v>1.3701499502789538E-3</v>
      </c>
      <c r="K74" s="155">
        <f>$K$73*(1+$A74)</f>
        <v>0.05</v>
      </c>
      <c r="L74" s="146">
        <f t="dataTable" ref="L74:M94" dt2D="0" dtr="0" r1="F3" ca="1"/>
        <v>-14208.96385151655</v>
      </c>
      <c r="M74" s="149">
        <v>1.4648489970585876E-2</v>
      </c>
      <c r="N74" s="157">
        <f>$K$73*(1+$A74)</f>
        <v>0.05</v>
      </c>
      <c r="O74" s="140">
        <f t="dataTable" ref="O74:P94" dt2D="0" dtr="0" r1="F5"/>
        <v>11947.707965437568</v>
      </c>
      <c r="P74" s="142">
        <v>0.11499517380166502</v>
      </c>
      <c r="Q74" s="6"/>
      <c r="R74" s="6"/>
      <c r="S74" s="6"/>
      <c r="T74" s="6"/>
    </row>
    <row r="75" spans="1:20" x14ac:dyDescent="0.35">
      <c r="A75" s="151">
        <f>A74+5%</f>
        <v>-0.45</v>
      </c>
      <c r="B75" s="53">
        <f t="shared" ref="B75:B94" si="18">$B$73*(1+$A75)</f>
        <v>1100</v>
      </c>
      <c r="C75" s="140">
        <v>505.43333846107089</v>
      </c>
      <c r="D75" s="142">
        <v>6.6925684518802209E-2</v>
      </c>
      <c r="E75" s="148">
        <f t="shared" ref="E75:E94" si="19">$E$73*(1+$A75)</f>
        <v>0.27500000000000002</v>
      </c>
      <c r="F75" s="146">
        <v>4150.4120054841387</v>
      </c>
      <c r="G75" s="149">
        <v>8.8620047502652621E-2</v>
      </c>
      <c r="H75" s="144">
        <f t="shared" ref="H75:H87" si="20">$H$73*(1+$A75)</f>
        <v>0.46750000000000003</v>
      </c>
      <c r="I75" s="140">
        <v>-8229.2653233070614</v>
      </c>
      <c r="J75" s="142">
        <v>1.2414000654131785E-2</v>
      </c>
      <c r="K75" s="155">
        <f t="shared" ref="K75:K94" si="21">$K$73*(1+$A75)</f>
        <v>5.5000000000000007E-2</v>
      </c>
      <c r="L75" s="146">
        <v>-10679.792675044569</v>
      </c>
      <c r="M75" s="149">
        <v>2.452132257115891E-2</v>
      </c>
      <c r="N75" s="157">
        <f t="shared" ref="N75:N94" si="22">$K$73*(1+$A75)</f>
        <v>5.5000000000000007E-2</v>
      </c>
      <c r="O75" s="140">
        <v>9801.1801279599367</v>
      </c>
      <c r="P75" s="142">
        <v>0.10726046988126425</v>
      </c>
      <c r="Q75" s="6"/>
      <c r="R75" s="6"/>
      <c r="S75" s="6"/>
      <c r="T75" s="6"/>
    </row>
    <row r="76" spans="1:20" x14ac:dyDescent="0.35">
      <c r="A76" s="151">
        <f>A75+5%</f>
        <v>-0.4</v>
      </c>
      <c r="B76" s="53">
        <f t="shared" si="18"/>
        <v>1200</v>
      </c>
      <c r="C76" s="140">
        <v>1027.2160363075436</v>
      </c>
      <c r="D76" s="142">
        <v>7.0632683610687419E-2</v>
      </c>
      <c r="E76" s="148">
        <f t="shared" si="19"/>
        <v>0.3</v>
      </c>
      <c r="F76" s="146">
        <v>4264.8794611504054</v>
      </c>
      <c r="G76" s="149">
        <v>8.8620047502652621E-2</v>
      </c>
      <c r="H76" s="144">
        <f t="shared" si="20"/>
        <v>0.51</v>
      </c>
      <c r="I76" s="140">
        <v>-6736.9605519308006</v>
      </c>
      <c r="J76" s="142">
        <v>2.273818489800683E-2</v>
      </c>
      <c r="K76" s="155">
        <f t="shared" si="21"/>
        <v>0.06</v>
      </c>
      <c r="L76" s="146">
        <v>-7738.8166946512611</v>
      </c>
      <c r="M76" s="149">
        <v>3.3630587044787719E-2</v>
      </c>
      <c r="N76" s="157">
        <f t="shared" si="22"/>
        <v>0.06</v>
      </c>
      <c r="O76" s="140">
        <v>8012.4069300619212</v>
      </c>
      <c r="P76" s="142">
        <v>0.10037973998568672</v>
      </c>
      <c r="Q76" s="6"/>
      <c r="R76" s="6"/>
      <c r="S76" s="6"/>
      <c r="T76" s="6"/>
    </row>
    <row r="77" spans="1:20" x14ac:dyDescent="0.35">
      <c r="A77" s="151">
        <f t="shared" ref="A77:A94" si="23">A76+5%</f>
        <v>-0.35000000000000003</v>
      </c>
      <c r="B77" s="53">
        <f t="shared" si="18"/>
        <v>1299.9999999999998</v>
      </c>
      <c r="C77" s="140">
        <v>1548.9987341540109</v>
      </c>
      <c r="D77" s="142">
        <v>7.3870990711888185E-2</v>
      </c>
      <c r="E77" s="148">
        <f t="shared" si="19"/>
        <v>0.32499999999999996</v>
      </c>
      <c r="F77" s="146">
        <v>4379.918667314394</v>
      </c>
      <c r="G77" s="149">
        <v>8.8620047502652621E-2</v>
      </c>
      <c r="H77" s="144">
        <f t="shared" si="20"/>
        <v>0.55249999999999988</v>
      </c>
      <c r="I77" s="140">
        <v>-5244.6557805545326</v>
      </c>
      <c r="J77" s="142">
        <v>3.2448188522034238E-2</v>
      </c>
      <c r="K77" s="155">
        <f t="shared" si="21"/>
        <v>6.4999999999999988E-2</v>
      </c>
      <c r="L77" s="146">
        <v>-5250.2985573953883</v>
      </c>
      <c r="M77" s="149">
        <v>4.2086260246903429E-2</v>
      </c>
      <c r="N77" s="157">
        <f t="shared" si="22"/>
        <v>6.4999999999999988E-2</v>
      </c>
      <c r="O77" s="140">
        <v>6498.8296087635918</v>
      </c>
      <c r="P77" s="142">
        <v>9.4204294622895812E-2</v>
      </c>
      <c r="Q77" s="6"/>
      <c r="R77" s="6"/>
      <c r="S77" s="6"/>
      <c r="T77" s="6"/>
    </row>
    <row r="78" spans="1:20" x14ac:dyDescent="0.35">
      <c r="A78" s="151">
        <f t="shared" si="23"/>
        <v>-0.30000000000000004</v>
      </c>
      <c r="B78" s="53">
        <f t="shared" si="18"/>
        <v>1400</v>
      </c>
      <c r="C78" s="140">
        <v>2070.7814320004763</v>
      </c>
      <c r="D78" s="142">
        <v>7.6725053093425588E-2</v>
      </c>
      <c r="E78" s="148">
        <f t="shared" si="19"/>
        <v>0.35</v>
      </c>
      <c r="F78" s="146">
        <v>4495.5328729224711</v>
      </c>
      <c r="G78" s="149">
        <v>8.8620047502652621E-2</v>
      </c>
      <c r="H78" s="144">
        <f t="shared" si="20"/>
        <v>0.59499999999999997</v>
      </c>
      <c r="I78" s="140">
        <v>-3752.3510091782755</v>
      </c>
      <c r="J78" s="142">
        <v>4.1627611943478859E-2</v>
      </c>
      <c r="K78" s="155">
        <f t="shared" si="21"/>
        <v>6.9999999999999993E-2</v>
      </c>
      <c r="L78" s="146">
        <v>-3117.2830111760668</v>
      </c>
      <c r="M78" s="149">
        <v>4.9975611667911757E-2</v>
      </c>
      <c r="N78" s="157">
        <f t="shared" si="22"/>
        <v>6.9999999999999993E-2</v>
      </c>
      <c r="O78" s="140">
        <v>5201.4776190793145</v>
      </c>
      <c r="P78" s="142">
        <v>8.8620047502652843E-2</v>
      </c>
      <c r="Q78" s="6"/>
      <c r="R78" s="6"/>
      <c r="S78" s="6"/>
      <c r="T78" s="6"/>
    </row>
    <row r="79" spans="1:20" x14ac:dyDescent="0.35">
      <c r="A79" s="151">
        <f t="shared" si="23"/>
        <v>-0.25000000000000006</v>
      </c>
      <c r="B79" s="53">
        <f t="shared" si="18"/>
        <v>1500</v>
      </c>
      <c r="C79" s="140">
        <v>2592.5641298469509</v>
      </c>
      <c r="D79" s="142">
        <v>7.9260008279322447E-2</v>
      </c>
      <c r="E79" s="148">
        <f t="shared" si="19"/>
        <v>0.375</v>
      </c>
      <c r="F79" s="146">
        <v>4611.7253472831708</v>
      </c>
      <c r="G79" s="149">
        <v>8.8620047502652621E-2</v>
      </c>
      <c r="H79" s="144">
        <f t="shared" si="20"/>
        <v>0.63749999999999996</v>
      </c>
      <c r="I79" s="140">
        <v>-2260.0462378020075</v>
      </c>
      <c r="J79" s="142">
        <v>5.0343880833919163E-2</v>
      </c>
      <c r="K79" s="155">
        <f t="shared" si="21"/>
        <v>7.5000000000000011E-2</v>
      </c>
      <c r="L79" s="146">
        <v>-1268.6695377859796</v>
      </c>
      <c r="M79" s="149">
        <v>5.736912109122283E-2</v>
      </c>
      <c r="N79" s="157">
        <f t="shared" si="22"/>
        <v>7.5000000000000011E-2</v>
      </c>
      <c r="O79" s="140">
        <v>4077.1058946862631</v>
      </c>
      <c r="P79" s="142">
        <v>8.3537664984036253E-2</v>
      </c>
      <c r="Q79" s="6"/>
      <c r="R79" s="6"/>
      <c r="S79" s="6"/>
      <c r="T79" s="6"/>
    </row>
    <row r="80" spans="1:20" x14ac:dyDescent="0.35">
      <c r="A80" s="151">
        <f t="shared" si="23"/>
        <v>-0.20000000000000007</v>
      </c>
      <c r="B80" s="53">
        <f t="shared" si="18"/>
        <v>1599.9999999999998</v>
      </c>
      <c r="C80" s="140">
        <v>3114.3468276934309</v>
      </c>
      <c r="D80" s="142">
        <v>8.1526946275900514E-2</v>
      </c>
      <c r="E80" s="148">
        <f t="shared" si="19"/>
        <v>0.39999999999999997</v>
      </c>
      <c r="F80" s="146">
        <v>4728.4993802056833</v>
      </c>
      <c r="G80" s="149">
        <v>8.8620047502652621E-2</v>
      </c>
      <c r="H80" s="144">
        <f t="shared" si="20"/>
        <v>0.67999999999999994</v>
      </c>
      <c r="I80" s="140">
        <v>-767.74146642574669</v>
      </c>
      <c r="J80" s="142">
        <v>5.8652200060288706E-2</v>
      </c>
      <c r="K80" s="155">
        <f t="shared" si="21"/>
        <v>0.08</v>
      </c>
      <c r="L80" s="146">
        <v>348.8672514303471</v>
      </c>
      <c r="M80" s="149">
        <v>6.4324575625814617E-2</v>
      </c>
      <c r="N80" s="157">
        <f t="shared" si="22"/>
        <v>0.08</v>
      </c>
      <c r="O80" s="140">
        <v>3093.2806358423531</v>
      </c>
      <c r="P80" s="142">
        <v>7.8885970270630157E-2</v>
      </c>
      <c r="Q80" s="6"/>
      <c r="R80" s="6"/>
      <c r="S80" s="6"/>
      <c r="T80" s="6"/>
    </row>
    <row r="81" spans="1:20" x14ac:dyDescent="0.35">
      <c r="A81" s="151">
        <f t="shared" si="23"/>
        <v>-0.15000000000000008</v>
      </c>
      <c r="B81" s="53">
        <f t="shared" si="18"/>
        <v>1699.9999999999998</v>
      </c>
      <c r="C81" s="140">
        <v>3636.1295255399</v>
      </c>
      <c r="D81" s="142">
        <v>8.356652849027757E-2</v>
      </c>
      <c r="E81" s="148">
        <f t="shared" si="19"/>
        <v>0.42499999999999993</v>
      </c>
      <c r="F81" s="146">
        <v>4845.8582821397176</v>
      </c>
      <c r="G81" s="149">
        <v>8.8620047502652621E-2</v>
      </c>
      <c r="H81" s="144">
        <f t="shared" si="20"/>
        <v>0.72249999999999992</v>
      </c>
      <c r="I81" s="140">
        <v>724.56330495052316</v>
      </c>
      <c r="J81" s="142">
        <v>6.6598363592805576E-2</v>
      </c>
      <c r="K81" s="155">
        <f t="shared" si="21"/>
        <v>8.4999999999999992E-2</v>
      </c>
      <c r="L81" s="146">
        <v>1776.1055948565008</v>
      </c>
      <c r="M81" s="149">
        <v>7.0889981547476832E-2</v>
      </c>
      <c r="N81" s="157">
        <f t="shared" si="22"/>
        <v>8.4999999999999992E-2</v>
      </c>
      <c r="O81" s="140">
        <v>2225.199525097727</v>
      </c>
      <c r="P81" s="142">
        <v>7.4607395467757964E-2</v>
      </c>
      <c r="Q81" s="6"/>
      <c r="R81" s="6"/>
      <c r="S81" s="6"/>
      <c r="T81" s="6"/>
    </row>
    <row r="82" spans="1:20" x14ac:dyDescent="0.35">
      <c r="A82" s="151">
        <f t="shared" si="23"/>
        <v>-0.10000000000000007</v>
      </c>
      <c r="B82" s="53">
        <f t="shared" si="18"/>
        <v>1799.9999999999998</v>
      </c>
      <c r="C82" s="140">
        <v>4157.9122233863654</v>
      </c>
      <c r="D82" s="142">
        <v>8.5411535914793113E-2</v>
      </c>
      <c r="E82" s="148">
        <f t="shared" si="19"/>
        <v>0.44999999999999996</v>
      </c>
      <c r="F82" s="146">
        <v>4963.8053843162179</v>
      </c>
      <c r="G82" s="149">
        <v>8.8620047502652621E-2</v>
      </c>
      <c r="H82" s="144">
        <f t="shared" si="20"/>
        <v>0.7649999999999999</v>
      </c>
      <c r="I82" s="140">
        <v>2216.8680763267821</v>
      </c>
      <c r="J82" s="142">
        <v>7.4220796996181893E-2</v>
      </c>
      <c r="K82" s="155">
        <f t="shared" si="21"/>
        <v>0.09</v>
      </c>
      <c r="L82" s="146">
        <v>3044.761900124211</v>
      </c>
      <c r="M82" s="149">
        <v>7.7105681292418682E-2</v>
      </c>
      <c r="N82" s="157">
        <f t="shared" si="22"/>
        <v>0.09</v>
      </c>
      <c r="O82" s="140">
        <v>1453.5718711024983</v>
      </c>
      <c r="P82" s="142">
        <v>7.065476543358451E-2</v>
      </c>
      <c r="Q82" s="6"/>
      <c r="R82" s="6"/>
      <c r="S82" s="6"/>
      <c r="T82" s="6"/>
    </row>
    <row r="83" spans="1:20" x14ac:dyDescent="0.35">
      <c r="A83" s="151">
        <f t="shared" si="23"/>
        <v>-5.0000000000000072E-2</v>
      </c>
      <c r="B83" s="53">
        <f t="shared" si="18"/>
        <v>1900</v>
      </c>
      <c r="C83" s="140">
        <v>4679.69492123284</v>
      </c>
      <c r="D83" s="142">
        <v>8.708870079782538E-2</v>
      </c>
      <c r="E83" s="148">
        <f t="shared" si="19"/>
        <v>0.47499999999999998</v>
      </c>
      <c r="F83" s="146">
        <v>5082.3440388894196</v>
      </c>
      <c r="G83" s="149">
        <v>8.8620047502652621E-2</v>
      </c>
      <c r="H83" s="144">
        <f t="shared" si="20"/>
        <v>0.8075</v>
      </c>
      <c r="I83" s="140">
        <v>3709.1728477030447</v>
      </c>
      <c r="J83" s="142">
        <v>8.1552071715815355E-2</v>
      </c>
      <c r="K83" s="155">
        <f t="shared" si="21"/>
        <v>9.5000000000000001E-2</v>
      </c>
      <c r="L83" s="146">
        <v>4179.8754364163633</v>
      </c>
      <c r="M83" s="149">
        <v>8.3005923426596073E-2</v>
      </c>
      <c r="N83" s="157">
        <f t="shared" si="22"/>
        <v>9.5000000000000001E-2</v>
      </c>
      <c r="O83" s="140">
        <v>763.16818068571774</v>
      </c>
      <c r="P83" s="142">
        <v>6.6988972837789262E-2</v>
      </c>
      <c r="Q83" s="6"/>
      <c r="R83" s="6"/>
      <c r="S83" s="6"/>
      <c r="T83" s="6"/>
    </row>
    <row r="84" spans="1:20" x14ac:dyDescent="0.35">
      <c r="A84" s="151">
        <f t="shared" si="23"/>
        <v>-6.9388939039072284E-17</v>
      </c>
      <c r="B84" s="53">
        <f t="shared" si="18"/>
        <v>1999.9999999999998</v>
      </c>
      <c r="C84" s="140">
        <v>5201.4776190793073</v>
      </c>
      <c r="D84" s="142">
        <v>8.8620047502652621E-2</v>
      </c>
      <c r="E84" s="148">
        <f t="shared" si="19"/>
        <v>0.49999999999999994</v>
      </c>
      <c r="F84" s="146">
        <v>5201.4776190793109</v>
      </c>
      <c r="G84" s="149">
        <v>8.8620047502652621E-2</v>
      </c>
      <c r="H84" s="144">
        <f t="shared" si="20"/>
        <v>0.84999999999999987</v>
      </c>
      <c r="I84" s="140">
        <v>5201.4776190793073</v>
      </c>
      <c r="J84" s="142">
        <v>8.8620047502652399E-2</v>
      </c>
      <c r="K84" s="155">
        <f t="shared" si="21"/>
        <v>9.9999999999999992E-2</v>
      </c>
      <c r="L84" s="146">
        <v>5201.4776190793109</v>
      </c>
      <c r="M84" s="149">
        <v>8.8620047502652621E-2</v>
      </c>
      <c r="N84" s="157">
        <f t="shared" si="22"/>
        <v>9.9999999999999992E-2</v>
      </c>
      <c r="O84" s="140">
        <v>141.80485931061776</v>
      </c>
      <c r="P84" s="142">
        <v>6.3577264659892885E-2</v>
      </c>
      <c r="Q84" s="6"/>
      <c r="R84" s="6"/>
      <c r="S84" s="6"/>
      <c r="T84" s="6"/>
    </row>
    <row r="85" spans="1:20" x14ac:dyDescent="0.35">
      <c r="A85" s="151">
        <f t="shared" si="23"/>
        <v>4.9999999999999933E-2</v>
      </c>
      <c r="B85" s="53">
        <f t="shared" si="18"/>
        <v>2099.9999999999995</v>
      </c>
      <c r="C85" s="140">
        <v>5723.2603169257836</v>
      </c>
      <c r="D85" s="142">
        <v>9.0023890140620955E-2</v>
      </c>
      <c r="E85" s="148">
        <f t="shared" si="19"/>
        <v>0.52499999999999991</v>
      </c>
      <c r="F85" s="146">
        <v>5321.2095193157656</v>
      </c>
      <c r="G85" s="149">
        <v>8.8620047502652621E-2</v>
      </c>
      <c r="H85" s="144">
        <f t="shared" si="20"/>
        <v>0.89249999999999985</v>
      </c>
      <c r="I85" s="140">
        <v>6693.7823904555662</v>
      </c>
      <c r="J85" s="142">
        <v>9.5448747758674735E-2</v>
      </c>
      <c r="K85" s="155">
        <f t="shared" si="21"/>
        <v>0.10499999999999998</v>
      </c>
      <c r="L85" s="146">
        <v>6125.7843557743436</v>
      </c>
      <c r="M85" s="149">
        <v>9.3973392304920189E-2</v>
      </c>
      <c r="N85" s="157">
        <f t="shared" si="22"/>
        <v>0.10499999999999998</v>
      </c>
      <c r="O85" s="140">
        <v>-420.38100288590431</v>
      </c>
      <c r="P85" s="142">
        <v>6.0391957516618522E-2</v>
      </c>
      <c r="Q85" s="6"/>
      <c r="R85" s="6"/>
      <c r="S85" s="6"/>
      <c r="T85" s="6"/>
    </row>
    <row r="86" spans="1:20" x14ac:dyDescent="0.35">
      <c r="A86" s="151">
        <f t="shared" si="23"/>
        <v>9.9999999999999936E-2</v>
      </c>
      <c r="B86" s="53">
        <f t="shared" si="18"/>
        <v>2199.9999999999995</v>
      </c>
      <c r="C86" s="140">
        <v>6245.0430147722582</v>
      </c>
      <c r="D86" s="142">
        <v>9.1315585724227599E-2</v>
      </c>
      <c r="E86" s="148">
        <f t="shared" si="19"/>
        <v>0.54999999999999993</v>
      </c>
      <c r="F86" s="146">
        <v>5441.5431553834351</v>
      </c>
      <c r="G86" s="149">
        <v>8.8620047502652621E-2</v>
      </c>
      <c r="H86" s="144">
        <f t="shared" si="20"/>
        <v>0.93499999999999983</v>
      </c>
      <c r="I86" s="140">
        <v>8186.0871618318433</v>
      </c>
      <c r="J86" s="142">
        <v>0.102059039614258</v>
      </c>
      <c r="K86" s="155">
        <f t="shared" si="21"/>
        <v>0.10999999999999999</v>
      </c>
      <c r="L86" s="146">
        <v>6966.0632073152883</v>
      </c>
      <c r="M86" s="149">
        <v>9.9088001825184291E-2</v>
      </c>
      <c r="N86" s="157">
        <f t="shared" si="22"/>
        <v>0.10999999999999999</v>
      </c>
      <c r="O86" s="140">
        <v>-931.45905942819809</v>
      </c>
      <c r="P86" s="142">
        <v>5.7409459655241468E-2</v>
      </c>
      <c r="Q86" s="6"/>
      <c r="R86" s="6"/>
      <c r="S86" s="6"/>
      <c r="T86" s="6"/>
    </row>
    <row r="87" spans="1:20" x14ac:dyDescent="0.35">
      <c r="A87" s="151">
        <f>A86+5%</f>
        <v>0.14999999999999994</v>
      </c>
      <c r="B87" s="53">
        <f t="shared" si="18"/>
        <v>2300</v>
      </c>
      <c r="C87" s="140">
        <v>6766.82571261872</v>
      </c>
      <c r="D87" s="142">
        <v>9.2508110273666455E-2</v>
      </c>
      <c r="E87" s="148">
        <f t="shared" si="19"/>
        <v>0.57499999999999996</v>
      </c>
      <c r="F87" s="146">
        <v>5562.4819645680109</v>
      </c>
      <c r="G87" s="149">
        <v>8.8620047502652621E-2</v>
      </c>
      <c r="H87" s="144">
        <f t="shared" si="20"/>
        <v>0.97749999999999992</v>
      </c>
      <c r="I87" s="140">
        <v>9678.3919332080895</v>
      </c>
      <c r="J87" s="142">
        <v>0.10846916893939129</v>
      </c>
      <c r="K87" s="155">
        <f t="shared" si="21"/>
        <v>0.11499999999999999</v>
      </c>
      <c r="L87" s="146">
        <v>7733.2743326352775</v>
      </c>
      <c r="M87" s="149">
        <v>0.10398318094206083</v>
      </c>
      <c r="N87" s="157">
        <f t="shared" si="22"/>
        <v>0.11499999999999999</v>
      </c>
      <c r="O87" s="140">
        <v>-1398.0955458363751</v>
      </c>
      <c r="P87" s="142">
        <v>5.4609516137782865E-2</v>
      </c>
      <c r="Q87" s="6"/>
      <c r="R87" s="6"/>
      <c r="S87" s="6"/>
      <c r="T87" s="6"/>
    </row>
    <row r="88" spans="1:20" x14ac:dyDescent="0.35">
      <c r="A88" s="151">
        <f t="shared" si="23"/>
        <v>0.19999999999999996</v>
      </c>
      <c r="B88" s="53">
        <f t="shared" si="18"/>
        <v>2400</v>
      </c>
      <c r="C88" s="140">
        <v>7288.6084104651964</v>
      </c>
      <c r="D88" s="142">
        <v>9.3612504783368244E-2</v>
      </c>
      <c r="E88" s="148">
        <f t="shared" si="19"/>
        <v>0.6</v>
      </c>
      <c r="F88" s="146">
        <v>5684.0294058029158</v>
      </c>
      <c r="G88" s="149">
        <v>8.8620047502652621E-2</v>
      </c>
      <c r="H88" s="144">
        <v>1</v>
      </c>
      <c r="I88" s="140">
        <v>10468.435635701411</v>
      </c>
      <c r="J88" s="142">
        <v>0.11178728873676391</v>
      </c>
      <c r="K88" s="155">
        <f t="shared" si="21"/>
        <v>0.12</v>
      </c>
      <c r="L88" s="146">
        <v>8436.5511975119425</v>
      </c>
      <c r="M88" s="149">
        <v>0.10867593779605511</v>
      </c>
      <c r="N88" s="157">
        <f t="shared" si="22"/>
        <v>0.12</v>
      </c>
      <c r="O88" s="140">
        <v>-1825.8456583772095</v>
      </c>
      <c r="P88" s="142">
        <v>5.1974619014387491E-2</v>
      </c>
      <c r="Q88" s="6"/>
      <c r="R88" s="6"/>
      <c r="S88" s="6"/>
      <c r="T88" s="6"/>
    </row>
    <row r="89" spans="1:20" x14ac:dyDescent="0.35">
      <c r="A89" s="151">
        <f t="shared" si="23"/>
        <v>0.24999999999999994</v>
      </c>
      <c r="B89" s="53">
        <f t="shared" si="18"/>
        <v>2500</v>
      </c>
      <c r="C89" s="140">
        <v>7810.3911083116691</v>
      </c>
      <c r="D89" s="142">
        <v>9.4638224217789446E-2</v>
      </c>
      <c r="E89" s="148">
        <f t="shared" si="19"/>
        <v>0.625</v>
      </c>
      <c r="F89" s="146">
        <v>5806.1889598177495</v>
      </c>
      <c r="G89" s="149">
        <v>8.8620047502652621E-2</v>
      </c>
      <c r="H89" s="144"/>
      <c r="I89" s="140"/>
      <c r="J89" s="142"/>
      <c r="K89" s="155">
        <f t="shared" si="21"/>
        <v>0.125</v>
      </c>
      <c r="L89" s="146">
        <v>9083.5659131984703</v>
      </c>
      <c r="M89" s="149">
        <v>0.1131813396211343</v>
      </c>
      <c r="N89" s="157">
        <f t="shared" si="22"/>
        <v>0.125</v>
      </c>
      <c r="O89" s="140">
        <v>-2219.3757619147746</v>
      </c>
      <c r="P89" s="142">
        <v>4.9489541216149791E-2</v>
      </c>
      <c r="Q89" s="6"/>
      <c r="R89" s="6"/>
      <c r="S89" s="6"/>
      <c r="T89" s="6"/>
    </row>
    <row r="90" spans="1:20" x14ac:dyDescent="0.35">
      <c r="A90" s="151">
        <f t="shared" si="23"/>
        <v>0.29999999999999993</v>
      </c>
      <c r="B90" s="53">
        <f t="shared" si="18"/>
        <v>2599.9999999999995</v>
      </c>
      <c r="C90" s="140">
        <v>8332.17380615814</v>
      </c>
      <c r="D90" s="142">
        <v>9.5593413359792212E-2</v>
      </c>
      <c r="E90" s="148">
        <f t="shared" si="19"/>
        <v>0.64999999999999991</v>
      </c>
      <c r="F90" s="146">
        <v>5928.9641292877077</v>
      </c>
      <c r="G90" s="149">
        <v>8.8620047502652621E-2</v>
      </c>
      <c r="H90" s="144"/>
      <c r="I90" s="140"/>
      <c r="J90" s="142"/>
      <c r="K90" s="155">
        <f t="shared" si="21"/>
        <v>0.12999999999999998</v>
      </c>
      <c r="L90" s="146">
        <v>9680.8102661398825</v>
      </c>
      <c r="M90" s="149">
        <v>0.11751280166907452</v>
      </c>
      <c r="N90" s="157">
        <f t="shared" si="22"/>
        <v>0.12999999999999998</v>
      </c>
      <c r="O90" s="140">
        <v>-2582.6343190263724</v>
      </c>
      <c r="P90" s="142">
        <v>4.7140964423707299E-2</v>
      </c>
      <c r="Q90" s="6"/>
      <c r="R90" s="6"/>
      <c r="S90" s="6"/>
      <c r="T90" s="6"/>
    </row>
    <row r="91" spans="1:20" x14ac:dyDescent="0.35">
      <c r="A91" s="151">
        <f>A90+5%</f>
        <v>0.34999999999999992</v>
      </c>
      <c r="B91" s="53">
        <f t="shared" si="18"/>
        <v>2699.9999999999995</v>
      </c>
      <c r="C91" s="140">
        <v>8853.9565040046054</v>
      </c>
      <c r="D91" s="142">
        <v>9.6485126845128999E-2</v>
      </c>
      <c r="E91" s="148">
        <f t="shared" si="19"/>
        <v>0.67499999999999993</v>
      </c>
      <c r="F91" s="146">
        <v>6052.3584389836324</v>
      </c>
      <c r="G91" s="149">
        <v>8.8620047502652621E-2</v>
      </c>
      <c r="H91" s="144"/>
      <c r="I91" s="140"/>
      <c r="J91" s="142"/>
      <c r="K91" s="155">
        <f t="shared" si="21"/>
        <v>0.13499999999999998</v>
      </c>
      <c r="L91" s="146">
        <v>10233.814296641189</v>
      </c>
      <c r="M91" s="149">
        <v>0.12168232385906586</v>
      </c>
      <c r="N91" s="157">
        <f t="shared" si="22"/>
        <v>0.13499999999999998</v>
      </c>
      <c r="O91" s="140">
        <v>-2918.9848348704436</v>
      </c>
      <c r="P91" s="142">
        <v>4.4917179165560039E-2</v>
      </c>
      <c r="Q91" s="6"/>
      <c r="R91" s="6"/>
      <c r="S91" s="6"/>
      <c r="T91" s="6"/>
    </row>
    <row r="92" spans="1:20" x14ac:dyDescent="0.35">
      <c r="A92" s="151">
        <f t="shared" si="23"/>
        <v>0.39999999999999991</v>
      </c>
      <c r="B92" s="53">
        <f t="shared" si="18"/>
        <v>2800</v>
      </c>
      <c r="C92" s="140">
        <v>9375.7392018510691</v>
      </c>
      <c r="D92" s="142">
        <v>9.7319506167744319E-2</v>
      </c>
      <c r="E92" s="148">
        <f t="shared" si="19"/>
        <v>0.7</v>
      </c>
      <c r="F92" s="146">
        <v>6176.3754359236482</v>
      </c>
      <c r="G92" s="149">
        <v>8.8620047502652621E-2</v>
      </c>
      <c r="H92" s="144"/>
      <c r="I92" s="140"/>
      <c r="J92" s="142"/>
      <c r="K92" s="155">
        <f t="shared" si="21"/>
        <v>0.13999999999999999</v>
      </c>
      <c r="L92" s="146">
        <v>10747.318039249543</v>
      </c>
      <c r="M92" s="149">
        <v>0.12570068614813401</v>
      </c>
      <c r="N92" s="157">
        <f t="shared" si="22"/>
        <v>0.13999999999999999</v>
      </c>
      <c r="O92" s="140">
        <v>-3231.310313868511</v>
      </c>
      <c r="P92" s="142">
        <v>4.2807841035370719E-2</v>
      </c>
      <c r="Q92" s="6"/>
      <c r="R92" s="6"/>
      <c r="S92" s="6"/>
      <c r="T92" s="6"/>
    </row>
    <row r="93" spans="1:20" x14ac:dyDescent="0.35">
      <c r="A93" s="151">
        <f t="shared" si="23"/>
        <v>0.4499999999999999</v>
      </c>
      <c r="B93" s="53">
        <f t="shared" si="18"/>
        <v>2900</v>
      </c>
      <c r="C93" s="140">
        <v>9897.5218996975491</v>
      </c>
      <c r="D93" s="142">
        <v>9.8101923189074958E-2</v>
      </c>
      <c r="E93" s="148">
        <f t="shared" si="19"/>
        <v>0.72499999999999998</v>
      </c>
      <c r="F93" s="146">
        <v>6301.018689525903</v>
      </c>
      <c r="G93" s="149">
        <v>8.8620047502652621E-2</v>
      </c>
      <c r="H93" s="144"/>
      <c r="I93" s="140"/>
      <c r="J93" s="142"/>
      <c r="K93" s="155">
        <f t="shared" si="21"/>
        <v>0.14499999999999999</v>
      </c>
      <c r="L93" s="146">
        <v>11225.407730643536</v>
      </c>
      <c r="M93" s="149">
        <v>0.12957761102098275</v>
      </c>
      <c r="N93" s="157">
        <f t="shared" si="22"/>
        <v>0.14499999999999999</v>
      </c>
      <c r="O93" s="140">
        <v>-3522.0961046598168</v>
      </c>
      <c r="P93" s="142">
        <v>4.0803770946730156E-2</v>
      </c>
      <c r="Q93" s="6"/>
      <c r="R93" s="6"/>
      <c r="S93" s="6"/>
      <c r="T93" s="6"/>
    </row>
    <row r="94" spans="1:20" x14ac:dyDescent="0.35">
      <c r="A94" s="151">
        <f t="shared" si="23"/>
        <v>0.49999999999999989</v>
      </c>
      <c r="B94" s="53">
        <f t="shared" si="18"/>
        <v>3000</v>
      </c>
      <c r="C94" s="140">
        <v>10419.304597544022</v>
      </c>
      <c r="D94" s="142">
        <v>9.8837097339047775E-2</v>
      </c>
      <c r="E94" s="148">
        <f t="shared" si="19"/>
        <v>0.75</v>
      </c>
      <c r="F94" s="146">
        <v>6426.2917917621999</v>
      </c>
      <c r="G94" s="149">
        <v>8.8620047502652621E-2</v>
      </c>
      <c r="H94" s="144"/>
      <c r="I94" s="140"/>
      <c r="J94" s="142"/>
      <c r="K94" s="155">
        <f t="shared" si="21"/>
        <v>0.15000000000000002</v>
      </c>
      <c r="L94" s="146">
        <v>11671.624775944583</v>
      </c>
      <c r="M94" s="149">
        <v>0.13332189955494256</v>
      </c>
      <c r="N94" s="157">
        <f t="shared" si="22"/>
        <v>0.15000000000000002</v>
      </c>
      <c r="O94" s="140">
        <v>-3793.4961760650349</v>
      </c>
      <c r="P94" s="142">
        <v>3.8896790263539538E-2</v>
      </c>
      <c r="Q94" s="6"/>
      <c r="R94" s="6"/>
      <c r="S94" s="6"/>
      <c r="T94" s="6"/>
    </row>
    <row r="95" spans="1:20" x14ac:dyDescent="0.35">
      <c r="A95" s="6"/>
      <c r="B95" s="6"/>
      <c r="C95" s="6"/>
      <c r="D95" s="6"/>
      <c r="E95" s="6"/>
      <c r="F95" s="6"/>
      <c r="G95" s="6"/>
      <c r="H95" s="6"/>
      <c r="I95" s="6"/>
      <c r="J95" s="6"/>
      <c r="K95" s="6"/>
      <c r="L95" s="6"/>
      <c r="M95" s="6"/>
      <c r="N95" s="6"/>
      <c r="O95" s="6"/>
      <c r="P95" s="6"/>
      <c r="Q95" s="6"/>
      <c r="R95" s="6"/>
      <c r="S95" s="6"/>
      <c r="T95" s="6"/>
    </row>
    <row r="96" spans="1:20" x14ac:dyDescent="0.35">
      <c r="A96" s="6"/>
      <c r="B96" s="6"/>
      <c r="C96" s="6"/>
      <c r="D96" s="6"/>
      <c r="E96" s="6"/>
      <c r="F96" s="6"/>
      <c r="G96" s="6"/>
      <c r="H96" s="6"/>
      <c r="I96" s="6"/>
      <c r="J96" s="6"/>
      <c r="K96" s="6"/>
      <c r="L96" s="6"/>
      <c r="M96" s="6"/>
      <c r="N96" s="6"/>
      <c r="O96" s="6"/>
      <c r="P96" s="6"/>
      <c r="Q96" s="6"/>
      <c r="R96" s="6"/>
      <c r="S96" s="6"/>
      <c r="T96" s="6"/>
    </row>
    <row r="97" spans="1:19" hidden="1" x14ac:dyDescent="0.35">
      <c r="A97" s="6"/>
      <c r="B97" s="6"/>
      <c r="C97" s="6"/>
      <c r="D97" s="6"/>
      <c r="E97" s="6"/>
      <c r="F97" s="6"/>
      <c r="G97" s="6"/>
      <c r="H97" s="6"/>
      <c r="I97" s="6"/>
      <c r="J97" s="6"/>
      <c r="K97" s="6"/>
      <c r="L97" s="6"/>
      <c r="M97" s="6"/>
      <c r="N97" s="6"/>
      <c r="O97" s="6"/>
      <c r="P97" s="6"/>
      <c r="Q97" s="6"/>
      <c r="R97" s="6"/>
      <c r="S97" s="6"/>
    </row>
  </sheetData>
  <mergeCells count="1">
    <mergeCell ref="A71:P71"/>
  </mergeCells>
  <hyperlinks>
    <hyperlink ref="J17" r:id="rId1" xr:uid="{00000000-0004-0000-1000-000000000000}"/>
    <hyperlink ref="J18" r:id="rId2" xr:uid="{00000000-0004-0000-1000-000001000000}"/>
    <hyperlink ref="J19" r:id="rId3" xr:uid="{00000000-0004-0000-1000-000002000000}"/>
    <hyperlink ref="J20" r:id="rId4" xr:uid="{00000000-0004-0000-1000-000003000000}"/>
  </hyperlinks>
  <pageMargins left="0.7" right="0.7" top="0.75" bottom="0.75" header="0.3" footer="0.3"/>
  <legacyDrawing r:id="rId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76"/>
  <sheetViews>
    <sheetView topLeftCell="A55" workbookViewId="0">
      <selection activeCell="J11" sqref="J11"/>
    </sheetView>
  </sheetViews>
  <sheetFormatPr defaultRowHeight="14.5" outlineLevelRow="1" x14ac:dyDescent="0.35"/>
  <cols>
    <col min="1" max="1" width="29.6328125" customWidth="1"/>
    <col min="2" max="2" width="12.36328125" bestFit="1" customWidth="1"/>
    <col min="3" max="3" width="10.54296875" customWidth="1"/>
    <col min="4" max="4" width="11.54296875" customWidth="1"/>
    <col min="5" max="5" width="13" customWidth="1"/>
    <col min="6" max="11" width="10.90625" customWidth="1"/>
    <col min="12" max="12" width="12.81640625" customWidth="1"/>
    <col min="13" max="13" width="10.90625" customWidth="1"/>
  </cols>
  <sheetData>
    <row r="1" spans="1:12" x14ac:dyDescent="0.35">
      <c r="A1" s="6"/>
      <c r="B1" s="6"/>
      <c r="C1" s="6"/>
      <c r="D1" s="6"/>
      <c r="E1" s="6"/>
      <c r="F1" s="6"/>
      <c r="G1" s="6"/>
      <c r="H1" s="6"/>
      <c r="I1" s="6"/>
      <c r="J1" s="6"/>
      <c r="K1" s="6"/>
      <c r="L1" s="6"/>
    </row>
    <row r="2" spans="1:12" x14ac:dyDescent="0.35">
      <c r="A2" s="17" t="s">
        <v>41</v>
      </c>
      <c r="B2" s="17"/>
      <c r="C2" s="17"/>
      <c r="D2" s="6"/>
      <c r="E2" s="6"/>
      <c r="F2" s="6"/>
      <c r="G2" s="6"/>
      <c r="H2" s="6"/>
      <c r="I2" s="6"/>
      <c r="J2" s="6"/>
      <c r="K2" s="6"/>
      <c r="L2" s="6"/>
    </row>
    <row r="3" spans="1:12" x14ac:dyDescent="0.35">
      <c r="A3" s="17" t="s">
        <v>32</v>
      </c>
      <c r="B3" s="45">
        <f>B8/F3</f>
        <v>20000</v>
      </c>
      <c r="C3" s="17"/>
      <c r="D3" s="6"/>
      <c r="E3" s="2" t="s">
        <v>103</v>
      </c>
      <c r="F3" s="115">
        <v>0.1</v>
      </c>
      <c r="G3" s="6"/>
      <c r="H3" s="6"/>
      <c r="I3" s="6"/>
      <c r="J3" s="6"/>
      <c r="K3" s="6"/>
      <c r="L3" s="6"/>
    </row>
    <row r="4" spans="1:12" x14ac:dyDescent="0.35">
      <c r="A4" s="17" t="s">
        <v>98</v>
      </c>
      <c r="B4" s="45">
        <v>5000</v>
      </c>
      <c r="C4" s="17"/>
      <c r="D4" s="6"/>
      <c r="E4" s="2"/>
      <c r="F4" s="2"/>
      <c r="G4" s="6"/>
      <c r="H4" s="6"/>
      <c r="I4" s="6"/>
      <c r="J4" s="6"/>
      <c r="K4" s="6"/>
      <c r="L4" s="6"/>
    </row>
    <row r="5" spans="1:12" x14ac:dyDescent="0.35">
      <c r="A5" s="17" t="s">
        <v>52</v>
      </c>
      <c r="B5" s="45">
        <f>L33/F5</f>
        <v>32637.969212642958</v>
      </c>
      <c r="C5" s="17"/>
      <c r="D5" s="6"/>
      <c r="E5" s="2" t="s">
        <v>104</v>
      </c>
      <c r="F5" s="115">
        <v>7.0000000000000007E-2</v>
      </c>
      <c r="G5" s="6"/>
      <c r="H5" s="6"/>
      <c r="I5" s="6"/>
      <c r="J5" s="6"/>
      <c r="K5" s="6"/>
      <c r="L5" s="6"/>
    </row>
    <row r="6" spans="1:12" x14ac:dyDescent="0.35">
      <c r="A6" s="17"/>
      <c r="B6" s="17"/>
      <c r="C6" s="17"/>
      <c r="D6" s="6"/>
      <c r="E6" s="6"/>
      <c r="F6" s="6"/>
      <c r="G6" s="6"/>
      <c r="H6" s="6"/>
      <c r="I6" s="6"/>
      <c r="J6" s="6"/>
      <c r="K6" s="6"/>
      <c r="L6" s="6"/>
    </row>
    <row r="7" spans="1:12" x14ac:dyDescent="0.35">
      <c r="A7" s="17" t="s">
        <v>34</v>
      </c>
      <c r="B7" s="17">
        <v>0</v>
      </c>
      <c r="C7" s="17"/>
      <c r="D7" s="6"/>
      <c r="E7" s="6"/>
      <c r="F7" s="6"/>
      <c r="G7" s="6"/>
      <c r="H7" s="6"/>
      <c r="I7" s="6"/>
      <c r="J7" s="6"/>
      <c r="K7" s="6"/>
      <c r="L7" s="6"/>
    </row>
    <row r="8" spans="1:12" x14ac:dyDescent="0.35">
      <c r="A8" s="17" t="s">
        <v>106</v>
      </c>
      <c r="B8" s="17">
        <v>2000</v>
      </c>
      <c r="C8" s="17"/>
      <c r="D8" s="6"/>
      <c r="E8" s="17" t="s">
        <v>85</v>
      </c>
      <c r="F8" s="18">
        <v>0.02</v>
      </c>
      <c r="G8" s="6"/>
      <c r="H8" s="6"/>
      <c r="I8" s="6"/>
      <c r="J8" s="6"/>
      <c r="K8" s="6"/>
      <c r="L8" s="6"/>
    </row>
    <row r="9" spans="1:12" x14ac:dyDescent="0.35">
      <c r="A9" s="53" t="s">
        <v>115</v>
      </c>
      <c r="B9" s="20">
        <f>F8+1%</f>
        <v>0.03</v>
      </c>
      <c r="C9" s="17"/>
      <c r="D9" s="6"/>
      <c r="E9" s="6"/>
      <c r="F9" s="6"/>
      <c r="G9" s="6"/>
      <c r="H9" s="6"/>
      <c r="I9" s="6"/>
      <c r="J9" s="6"/>
      <c r="K9" s="6"/>
      <c r="L9" s="6"/>
    </row>
    <row r="10" spans="1:12" x14ac:dyDescent="0.35">
      <c r="A10" s="17" t="s">
        <v>101</v>
      </c>
      <c r="B10" s="18">
        <v>0.85</v>
      </c>
      <c r="C10" s="17"/>
      <c r="D10" s="6"/>
      <c r="E10" s="6" t="s">
        <v>113</v>
      </c>
      <c r="F10" s="6"/>
      <c r="G10" s="6"/>
      <c r="H10" s="6"/>
      <c r="I10" s="6"/>
      <c r="J10" s="6"/>
      <c r="K10" s="6"/>
      <c r="L10" s="6"/>
    </row>
    <row r="11" spans="1:12" x14ac:dyDescent="0.35">
      <c r="A11" s="17" t="s">
        <v>107</v>
      </c>
      <c r="B11" s="18">
        <v>0.1</v>
      </c>
      <c r="C11" s="17" t="s">
        <v>99</v>
      </c>
      <c r="D11" s="6"/>
      <c r="E11" s="6" t="s">
        <v>114</v>
      </c>
      <c r="F11" s="6"/>
      <c r="G11" s="6"/>
      <c r="H11" s="6"/>
      <c r="I11" s="6"/>
      <c r="J11" s="6"/>
      <c r="K11" s="6"/>
      <c r="L11" s="6"/>
    </row>
    <row r="12" spans="1:12" x14ac:dyDescent="0.35">
      <c r="A12" s="17" t="s">
        <v>38</v>
      </c>
      <c r="B12" s="19">
        <v>50</v>
      </c>
      <c r="C12" s="17"/>
      <c r="D12" s="6"/>
      <c r="E12" s="6"/>
      <c r="F12" s="6"/>
      <c r="G12" s="6"/>
      <c r="H12" s="6"/>
      <c r="I12" s="6"/>
      <c r="J12" s="6"/>
      <c r="K12" s="6"/>
      <c r="L12" s="6"/>
    </row>
    <row r="13" spans="1:12" x14ac:dyDescent="0.35">
      <c r="A13" s="17" t="s">
        <v>47</v>
      </c>
      <c r="B13" s="18">
        <v>0.05</v>
      </c>
      <c r="C13" s="17"/>
      <c r="D13" s="6"/>
      <c r="E13" s="6"/>
      <c r="F13" s="6"/>
      <c r="G13" s="6"/>
      <c r="H13" s="6"/>
      <c r="I13" s="6"/>
      <c r="J13" s="6"/>
      <c r="K13" s="6"/>
      <c r="L13" s="6"/>
    </row>
    <row r="14" spans="1:12" x14ac:dyDescent="0.35">
      <c r="A14" s="17" t="s">
        <v>105</v>
      </c>
      <c r="B14" s="29">
        <v>2.5000000000000001E-2</v>
      </c>
      <c r="C14" s="17"/>
      <c r="D14" s="6"/>
      <c r="E14" s="6"/>
      <c r="F14" s="6"/>
      <c r="G14" s="6"/>
      <c r="H14" s="6"/>
      <c r="I14" s="6"/>
      <c r="J14" s="6"/>
      <c r="K14" s="6"/>
      <c r="L14" s="6"/>
    </row>
    <row r="15" spans="1:12" x14ac:dyDescent="0.35">
      <c r="A15" s="17"/>
      <c r="B15" s="29"/>
      <c r="C15" s="17"/>
      <c r="D15" s="6"/>
      <c r="E15" s="6"/>
      <c r="F15" s="6"/>
      <c r="G15" s="6"/>
      <c r="H15" s="6"/>
      <c r="I15" s="6"/>
      <c r="J15" s="6"/>
      <c r="K15" s="6"/>
      <c r="L15" s="6"/>
    </row>
    <row r="16" spans="1:12" x14ac:dyDescent="0.35">
      <c r="A16" s="17" t="s">
        <v>158</v>
      </c>
      <c r="B16" s="29"/>
      <c r="C16" s="17"/>
      <c r="D16" s="6"/>
      <c r="E16" s="6"/>
      <c r="F16" s="6"/>
      <c r="G16" s="6"/>
      <c r="H16" s="6"/>
      <c r="I16" s="6"/>
      <c r="J16" s="6"/>
      <c r="K16" s="6"/>
      <c r="L16" s="6"/>
    </row>
    <row r="17" spans="1:12" x14ac:dyDescent="0.35">
      <c r="A17" s="29" t="s">
        <v>159</v>
      </c>
      <c r="B17" s="29">
        <v>0.5</v>
      </c>
      <c r="C17" s="17"/>
      <c r="D17" s="58" t="s">
        <v>141</v>
      </c>
      <c r="E17" s="113">
        <f>B17*(B3+B4)</f>
        <v>12500</v>
      </c>
      <c r="F17" s="58"/>
      <c r="G17" s="58"/>
      <c r="H17" s="58"/>
      <c r="I17" s="6"/>
      <c r="J17" s="6"/>
      <c r="K17" s="6"/>
      <c r="L17" s="6"/>
    </row>
    <row r="18" spans="1:12" x14ac:dyDescent="0.35">
      <c r="A18" s="29" t="s">
        <v>168</v>
      </c>
      <c r="B18" s="29">
        <v>0.05</v>
      </c>
      <c r="C18" s="17"/>
      <c r="D18" s="58" t="s">
        <v>142</v>
      </c>
      <c r="E18" s="113">
        <f>(B3+B4)-E17</f>
        <v>12500</v>
      </c>
      <c r="F18" s="58"/>
      <c r="G18" s="58" t="s">
        <v>186</v>
      </c>
      <c r="H18" s="114">
        <f>E18*B18</f>
        <v>625</v>
      </c>
      <c r="I18" s="6"/>
      <c r="J18" s="6"/>
      <c r="K18" s="6"/>
      <c r="L18" s="6"/>
    </row>
    <row r="19" spans="1:12" x14ac:dyDescent="0.35">
      <c r="A19" s="29" t="s">
        <v>162</v>
      </c>
      <c r="B19" s="29">
        <v>5.5E-2</v>
      </c>
      <c r="C19" s="17"/>
      <c r="D19" s="58"/>
      <c r="E19" s="58"/>
      <c r="F19" s="58"/>
      <c r="G19" s="58"/>
      <c r="H19" s="58"/>
      <c r="I19" s="6"/>
      <c r="J19" s="6"/>
      <c r="K19" s="6"/>
      <c r="L19" s="6"/>
    </row>
    <row r="20" spans="1:12" x14ac:dyDescent="0.35">
      <c r="A20" s="29" t="s">
        <v>148</v>
      </c>
      <c r="B20" s="29">
        <v>0.2</v>
      </c>
      <c r="C20" s="17"/>
      <c r="D20" s="58" t="s">
        <v>149</v>
      </c>
      <c r="E20" s="114">
        <f>B20*E17</f>
        <v>2500</v>
      </c>
      <c r="F20" s="58"/>
      <c r="G20" s="58"/>
      <c r="H20" s="58"/>
      <c r="I20" s="6"/>
      <c r="J20" s="6"/>
      <c r="K20" s="6"/>
      <c r="L20" s="6"/>
    </row>
    <row r="21" spans="1:12" x14ac:dyDescent="0.35">
      <c r="A21" s="29"/>
      <c r="B21" s="29"/>
      <c r="C21" s="17"/>
      <c r="D21" s="6"/>
      <c r="E21" s="6"/>
      <c r="F21" s="6"/>
      <c r="G21" s="6"/>
      <c r="H21" s="6"/>
      <c r="I21" s="6"/>
      <c r="J21" s="6"/>
      <c r="K21" s="6"/>
      <c r="L21" s="6"/>
    </row>
    <row r="22" spans="1:12" x14ac:dyDescent="0.35">
      <c r="A22" s="29"/>
      <c r="B22" s="29"/>
      <c r="C22" s="17"/>
      <c r="D22" s="6"/>
      <c r="E22" s="6"/>
      <c r="F22" s="6"/>
      <c r="G22" s="6"/>
      <c r="H22" s="6"/>
      <c r="I22" s="6"/>
      <c r="J22" s="6"/>
      <c r="K22" s="6"/>
      <c r="L22" s="6"/>
    </row>
    <row r="23" spans="1:12" x14ac:dyDescent="0.35">
      <c r="A23" s="29"/>
      <c r="B23" s="29"/>
      <c r="C23" s="17"/>
      <c r="D23" s="6"/>
      <c r="E23" s="6"/>
      <c r="F23" s="6"/>
      <c r="G23" s="6"/>
      <c r="H23" s="6"/>
      <c r="I23" s="6"/>
      <c r="J23" s="6"/>
      <c r="K23" s="6"/>
      <c r="L23" s="6"/>
    </row>
    <row r="24" spans="1:12" x14ac:dyDescent="0.35">
      <c r="A24" s="6"/>
      <c r="B24" s="13"/>
      <c r="C24" s="6"/>
      <c r="D24" s="6"/>
      <c r="E24" s="6"/>
      <c r="F24" s="6"/>
      <c r="G24" s="6"/>
      <c r="H24" s="6"/>
      <c r="I24" s="6"/>
      <c r="J24" s="6"/>
      <c r="K24" s="6"/>
      <c r="L24" s="6"/>
    </row>
    <row r="25" spans="1:12" x14ac:dyDescent="0.35">
      <c r="A25" s="5"/>
      <c r="B25" s="5">
        <v>0</v>
      </c>
      <c r="C25" s="5">
        <v>1</v>
      </c>
      <c r="D25" s="5">
        <v>2</v>
      </c>
      <c r="E25" s="5">
        <v>3</v>
      </c>
      <c r="F25" s="5">
        <v>4</v>
      </c>
      <c r="G25" s="5">
        <v>5</v>
      </c>
      <c r="H25" s="5">
        <v>6</v>
      </c>
      <c r="I25" s="5">
        <v>7</v>
      </c>
      <c r="J25" s="5">
        <v>8</v>
      </c>
      <c r="K25" s="5">
        <v>9</v>
      </c>
      <c r="L25" s="5">
        <v>10</v>
      </c>
    </row>
    <row r="26" spans="1:12" x14ac:dyDescent="0.35">
      <c r="A26" s="15" t="s">
        <v>31</v>
      </c>
      <c r="B26" s="6"/>
      <c r="C26" s="6"/>
      <c r="D26" s="6"/>
      <c r="E26" s="6"/>
      <c r="F26" s="6"/>
      <c r="G26" s="6"/>
      <c r="H26" s="6"/>
      <c r="I26" s="6"/>
      <c r="J26" s="6"/>
      <c r="K26" s="6"/>
      <c r="L26" s="6"/>
    </row>
    <row r="27" spans="1:12" x14ac:dyDescent="0.35">
      <c r="A27" s="6" t="s">
        <v>32</v>
      </c>
      <c r="B27" s="32">
        <f>-B3</f>
        <v>-20000</v>
      </c>
      <c r="C27" s="6"/>
      <c r="D27" s="6"/>
      <c r="E27" s="6"/>
      <c r="F27" s="6"/>
      <c r="G27" s="6"/>
      <c r="H27" s="6"/>
      <c r="I27" s="6"/>
      <c r="J27" s="6"/>
      <c r="K27" s="6"/>
      <c r="L27" s="6"/>
    </row>
    <row r="28" spans="1:12" x14ac:dyDescent="0.35">
      <c r="A28" s="6" t="s">
        <v>98</v>
      </c>
      <c r="B28" s="32">
        <f>-B4</f>
        <v>-5000</v>
      </c>
      <c r="C28" s="6"/>
      <c r="D28" s="6"/>
      <c r="E28" s="6"/>
      <c r="F28" s="6"/>
      <c r="G28" s="6"/>
      <c r="H28" s="6"/>
      <c r="I28" s="6"/>
      <c r="J28" s="6"/>
      <c r="K28" s="6"/>
      <c r="L28" s="6"/>
    </row>
    <row r="29" spans="1:12" x14ac:dyDescent="0.35">
      <c r="A29" s="16" t="s">
        <v>34</v>
      </c>
      <c r="B29" s="33">
        <f>-B7</f>
        <v>0</v>
      </c>
      <c r="C29" s="6"/>
      <c r="D29" s="6"/>
      <c r="E29" s="6"/>
      <c r="F29" s="6"/>
      <c r="G29" s="6"/>
      <c r="H29" s="6"/>
      <c r="I29" s="6"/>
      <c r="J29" s="6"/>
      <c r="K29" s="6"/>
      <c r="L29" s="6"/>
    </row>
    <row r="30" spans="1:12" x14ac:dyDescent="0.35">
      <c r="A30" s="7" t="s">
        <v>35</v>
      </c>
      <c r="B30" s="32">
        <f>SUM(B27:B29)</f>
        <v>-25000</v>
      </c>
      <c r="C30" s="6"/>
      <c r="D30" s="6"/>
      <c r="E30" s="6"/>
      <c r="F30" s="6"/>
      <c r="G30" s="6"/>
      <c r="H30" s="6"/>
      <c r="I30" s="6"/>
      <c r="J30" s="6"/>
      <c r="K30" s="6"/>
      <c r="L30" s="6"/>
    </row>
    <row r="31" spans="1:12" ht="11.5" customHeight="1" x14ac:dyDescent="0.35">
      <c r="A31" s="6"/>
      <c r="B31" s="6"/>
      <c r="C31" s="6"/>
      <c r="D31" s="6"/>
      <c r="E31" s="6"/>
      <c r="F31" s="6"/>
      <c r="G31" s="6"/>
      <c r="H31" s="6"/>
      <c r="I31" s="6"/>
      <c r="J31" s="6"/>
      <c r="K31" s="6"/>
      <c r="L31" s="6"/>
    </row>
    <row r="32" spans="1:12" x14ac:dyDescent="0.35">
      <c r="A32" s="15" t="s">
        <v>59</v>
      </c>
      <c r="B32" s="6"/>
      <c r="C32" s="6"/>
      <c r="D32" s="6"/>
      <c r="E32" s="6"/>
      <c r="F32" s="6"/>
      <c r="G32" s="6"/>
      <c r="H32" s="6"/>
      <c r="I32" s="6"/>
      <c r="J32" s="6"/>
      <c r="K32" s="6"/>
      <c r="L32" s="6"/>
    </row>
    <row r="33" spans="1:12" x14ac:dyDescent="0.35">
      <c r="A33" s="6" t="s">
        <v>102</v>
      </c>
      <c r="B33" s="6"/>
      <c r="C33" s="32">
        <f>B8*B10*(1+$B$9)</f>
        <v>1751</v>
      </c>
      <c r="D33" s="32">
        <f>C33*(1+$B$9)</f>
        <v>1803.53</v>
      </c>
      <c r="E33" s="32">
        <f t="shared" ref="E33:L33" si="0">D33*(1+$B$9)</f>
        <v>1857.6359</v>
      </c>
      <c r="F33" s="32">
        <f t="shared" si="0"/>
        <v>1913.364977</v>
      </c>
      <c r="G33" s="32">
        <f t="shared" si="0"/>
        <v>1970.7659263099999</v>
      </c>
      <c r="H33" s="32">
        <f t="shared" si="0"/>
        <v>2029.8889040992999</v>
      </c>
      <c r="I33" s="32">
        <f t="shared" si="0"/>
        <v>2090.785571222279</v>
      </c>
      <c r="J33" s="32">
        <f t="shared" si="0"/>
        <v>2153.5091383589474</v>
      </c>
      <c r="K33" s="32">
        <f t="shared" si="0"/>
        <v>2218.1144125097157</v>
      </c>
      <c r="L33" s="32">
        <f t="shared" si="0"/>
        <v>2284.6578448850073</v>
      </c>
    </row>
    <row r="34" spans="1:12" x14ac:dyDescent="0.35">
      <c r="A34" s="8" t="s">
        <v>37</v>
      </c>
      <c r="B34" s="6"/>
      <c r="C34" s="32">
        <f>-C33*B11*(1+$F$8)</f>
        <v>-178.60200000000003</v>
      </c>
      <c r="D34" s="32">
        <f t="shared" ref="D34:L35" si="1">C34*(1+$F$8)</f>
        <v>-182.17404000000005</v>
      </c>
      <c r="E34" s="32">
        <f t="shared" si="1"/>
        <v>-185.81752080000004</v>
      </c>
      <c r="F34" s="32">
        <f t="shared" si="1"/>
        <v>-189.53387121600005</v>
      </c>
      <c r="G34" s="32">
        <f t="shared" si="1"/>
        <v>-193.32454864032005</v>
      </c>
      <c r="H34" s="32">
        <f t="shared" si="1"/>
        <v>-197.19103961312646</v>
      </c>
      <c r="I34" s="32">
        <f t="shared" si="1"/>
        <v>-201.13486040538899</v>
      </c>
      <c r="J34" s="32">
        <f t="shared" si="1"/>
        <v>-205.15755761349678</v>
      </c>
      <c r="K34" s="32">
        <f t="shared" si="1"/>
        <v>-209.26070876576671</v>
      </c>
      <c r="L34" s="32">
        <f t="shared" si="1"/>
        <v>-213.44592294108205</v>
      </c>
    </row>
    <row r="35" spans="1:12" x14ac:dyDescent="0.35">
      <c r="A35" s="16" t="s">
        <v>38</v>
      </c>
      <c r="B35" s="16"/>
      <c r="C35" s="33">
        <f>-B12*(1+$F$8)</f>
        <v>-51</v>
      </c>
      <c r="D35" s="33">
        <f t="shared" si="1"/>
        <v>-52.02</v>
      </c>
      <c r="E35" s="33">
        <f t="shared" si="1"/>
        <v>-53.060400000000001</v>
      </c>
      <c r="F35" s="33">
        <f t="shared" si="1"/>
        <v>-54.121608000000002</v>
      </c>
      <c r="G35" s="33">
        <f t="shared" si="1"/>
        <v>-55.204040160000005</v>
      </c>
      <c r="H35" s="33">
        <f t="shared" si="1"/>
        <v>-56.308120963200004</v>
      </c>
      <c r="I35" s="33">
        <f t="shared" si="1"/>
        <v>-57.434283382464002</v>
      </c>
      <c r="J35" s="33">
        <f t="shared" si="1"/>
        <v>-58.582969050113284</v>
      </c>
      <c r="K35" s="33">
        <f t="shared" si="1"/>
        <v>-59.754628431115549</v>
      </c>
      <c r="L35" s="33">
        <f t="shared" si="1"/>
        <v>-60.949720999737863</v>
      </c>
    </row>
    <row r="36" spans="1:12" x14ac:dyDescent="0.35">
      <c r="A36" s="7" t="s">
        <v>45</v>
      </c>
      <c r="B36" s="6"/>
      <c r="C36" s="34">
        <f>SUM(C33:C35)</f>
        <v>1521.3979999999999</v>
      </c>
      <c r="D36" s="34">
        <f>SUM(D33:D35)</f>
        <v>1569.3359599999999</v>
      </c>
      <c r="E36" s="34">
        <f>SUM(E33:E35)</f>
        <v>1618.7579791999999</v>
      </c>
      <c r="F36" s="34">
        <f>SUM(F33:F35)</f>
        <v>1669.709497784</v>
      </c>
      <c r="G36" s="34">
        <f t="shared" ref="G36:K36" si="2">SUM(G33:G35)</f>
        <v>1722.2373375096799</v>
      </c>
      <c r="H36" s="34">
        <f t="shared" si="2"/>
        <v>1776.3897435229733</v>
      </c>
      <c r="I36" s="34">
        <f t="shared" si="2"/>
        <v>1832.2164274344261</v>
      </c>
      <c r="J36" s="34">
        <f t="shared" si="2"/>
        <v>1889.7686116953375</v>
      </c>
      <c r="K36" s="34">
        <f t="shared" si="2"/>
        <v>1949.0990753128335</v>
      </c>
      <c r="L36" s="34">
        <f>SUM(L33:L35)</f>
        <v>2010.2622009441873</v>
      </c>
    </row>
    <row r="37" spans="1:12" x14ac:dyDescent="0.35">
      <c r="A37" s="16" t="s">
        <v>43</v>
      </c>
      <c r="B37" s="16"/>
      <c r="C37" s="33">
        <f t="shared" ref="C37:L37" si="3">($B$27+$B$28)*C73</f>
        <v>-625</v>
      </c>
      <c r="D37" s="33">
        <f t="shared" si="3"/>
        <v>-625</v>
      </c>
      <c r="E37" s="33">
        <f t="shared" si="3"/>
        <v>-625</v>
      </c>
      <c r="F37" s="33">
        <f t="shared" si="3"/>
        <v>-625</v>
      </c>
      <c r="G37" s="33">
        <f t="shared" si="3"/>
        <v>-625</v>
      </c>
      <c r="H37" s="33">
        <f t="shared" si="3"/>
        <v>-625</v>
      </c>
      <c r="I37" s="33">
        <f t="shared" si="3"/>
        <v>-625</v>
      </c>
      <c r="J37" s="33">
        <f t="shared" si="3"/>
        <v>-625</v>
      </c>
      <c r="K37" s="33">
        <f t="shared" si="3"/>
        <v>-625</v>
      </c>
      <c r="L37" s="33">
        <f t="shared" si="3"/>
        <v>-625</v>
      </c>
    </row>
    <row r="38" spans="1:12" x14ac:dyDescent="0.35">
      <c r="A38" s="7" t="s">
        <v>146</v>
      </c>
      <c r="B38" s="7"/>
      <c r="C38" s="34">
        <f>C36+C37</f>
        <v>896.39799999999991</v>
      </c>
      <c r="D38" s="34">
        <f t="shared" ref="D38:L38" si="4">D36+D37</f>
        <v>944.33595999999989</v>
      </c>
      <c r="E38" s="34">
        <f t="shared" si="4"/>
        <v>993.75797919999991</v>
      </c>
      <c r="F38" s="34">
        <f t="shared" si="4"/>
        <v>1044.709497784</v>
      </c>
      <c r="G38" s="34">
        <f t="shared" si="4"/>
        <v>1097.2373375096799</v>
      </c>
      <c r="H38" s="34">
        <f t="shared" si="4"/>
        <v>1151.3897435229733</v>
      </c>
      <c r="I38" s="34">
        <f t="shared" si="4"/>
        <v>1207.2164274344261</v>
      </c>
      <c r="J38" s="34">
        <f t="shared" si="4"/>
        <v>1264.7686116953375</v>
      </c>
      <c r="K38" s="34">
        <f t="shared" si="4"/>
        <v>1324.0990753128335</v>
      </c>
      <c r="L38" s="34">
        <f t="shared" si="4"/>
        <v>1385.2622009441873</v>
      </c>
    </row>
    <row r="39" spans="1:12" x14ac:dyDescent="0.35">
      <c r="A39" s="16" t="s">
        <v>147</v>
      </c>
      <c r="B39" s="16"/>
      <c r="C39" s="33">
        <f t="shared" ref="C39:L39" si="5">IPMT($B$19,C25,$L$25,$E$17,$E$20)</f>
        <v>-687.5</v>
      </c>
      <c r="D39" s="33">
        <f t="shared" si="5"/>
        <v>-623.42409081969663</v>
      </c>
      <c r="E39" s="33">
        <f t="shared" si="5"/>
        <v>-555.82400663447652</v>
      </c>
      <c r="F39" s="33">
        <f t="shared" si="5"/>
        <v>-484.50591781906928</v>
      </c>
      <c r="G39" s="33">
        <f t="shared" si="5"/>
        <v>-409.26533411881479</v>
      </c>
      <c r="H39" s="33">
        <f t="shared" si="5"/>
        <v>-329.8865183150462</v>
      </c>
      <c r="I39" s="33">
        <f t="shared" si="5"/>
        <v>-246.14186764207031</v>
      </c>
      <c r="J39" s="33">
        <f t="shared" si="5"/>
        <v>-157.7912611820808</v>
      </c>
      <c r="K39" s="33">
        <f t="shared" si="5"/>
        <v>-64.581371366791842</v>
      </c>
      <c r="L39" s="33">
        <f t="shared" si="5"/>
        <v>33.755062388338011</v>
      </c>
    </row>
    <row r="40" spans="1:12" x14ac:dyDescent="0.35">
      <c r="A40" s="7" t="s">
        <v>48</v>
      </c>
      <c r="B40" s="6"/>
      <c r="C40" s="34">
        <f>C38+C39</f>
        <v>208.89799999999991</v>
      </c>
      <c r="D40" s="34">
        <f>D38+D39</f>
        <v>320.91186918030326</v>
      </c>
      <c r="E40" s="34">
        <f t="shared" ref="E40:L40" si="6">E38+E39</f>
        <v>437.93397256552339</v>
      </c>
      <c r="F40" s="34">
        <f t="shared" si="6"/>
        <v>560.20357996493067</v>
      </c>
      <c r="G40" s="34">
        <f t="shared" si="6"/>
        <v>687.97200339086521</v>
      </c>
      <c r="H40" s="34">
        <f t="shared" si="6"/>
        <v>821.50322520792702</v>
      </c>
      <c r="I40" s="34">
        <f t="shared" si="6"/>
        <v>961.07455979235579</v>
      </c>
      <c r="J40" s="34">
        <f t="shared" si="6"/>
        <v>1106.9773505132566</v>
      </c>
      <c r="K40" s="34">
        <f t="shared" si="6"/>
        <v>1259.5177039460416</v>
      </c>
      <c r="L40" s="34">
        <f t="shared" si="6"/>
        <v>1419.0172633325253</v>
      </c>
    </row>
    <row r="41" spans="1:12" x14ac:dyDescent="0.35">
      <c r="A41" s="8" t="s">
        <v>112</v>
      </c>
      <c r="B41" s="8"/>
      <c r="C41" s="52">
        <f>IF(B40+B41&lt;0,B40+B41,0)</f>
        <v>0</v>
      </c>
      <c r="D41" s="52">
        <f>IF(C40+C41&lt;0,C40+C41,0)</f>
        <v>0</v>
      </c>
      <c r="E41" s="52">
        <f t="shared" ref="E41:L41" si="7">IF(D40+D41&lt;0,D40+D41,0)</f>
        <v>0</v>
      </c>
      <c r="F41" s="52">
        <f>IF(E40+E41&lt;0,E40+E41,0)</f>
        <v>0</v>
      </c>
      <c r="G41" s="52">
        <f>IF(F40+F41&lt;0,F40+F41,0)</f>
        <v>0</v>
      </c>
      <c r="H41" s="52">
        <f t="shared" si="7"/>
        <v>0</v>
      </c>
      <c r="I41" s="52">
        <f t="shared" si="7"/>
        <v>0</v>
      </c>
      <c r="J41" s="52">
        <f t="shared" si="7"/>
        <v>0</v>
      </c>
      <c r="K41" s="52">
        <f t="shared" si="7"/>
        <v>0</v>
      </c>
      <c r="L41" s="52">
        <f t="shared" si="7"/>
        <v>0</v>
      </c>
    </row>
    <row r="42" spans="1:12" x14ac:dyDescent="0.35">
      <c r="A42" s="16" t="s">
        <v>46</v>
      </c>
      <c r="B42" s="16"/>
      <c r="C42" s="33">
        <f>IF(C40+C41&lt;0,0,-(C40+C41)*$B$13)</f>
        <v>-10.444899999999997</v>
      </c>
      <c r="D42" s="33">
        <f>IF(D40+D41&lt;0,0,-(D40+D41)*$B$13)</f>
        <v>-16.045593459015162</v>
      </c>
      <c r="E42" s="33">
        <f t="shared" ref="E42:K42" si="8">IF(E40+E41&lt;0,0,-(E40+E41)*$B$13)</f>
        <v>-21.89669862827617</v>
      </c>
      <c r="F42" s="33">
        <f t="shared" si="8"/>
        <v>-28.010178998246534</v>
      </c>
      <c r="G42" s="33">
        <f t="shared" si="8"/>
        <v>-34.398600169543265</v>
      </c>
      <c r="H42" s="33">
        <f t="shared" si="8"/>
        <v>-41.075161260396357</v>
      </c>
      <c r="I42" s="33">
        <f t="shared" si="8"/>
        <v>-48.053727989617791</v>
      </c>
      <c r="J42" s="33">
        <f t="shared" si="8"/>
        <v>-55.348867525662833</v>
      </c>
      <c r="K42" s="33">
        <f t="shared" si="8"/>
        <v>-62.975885197302084</v>
      </c>
      <c r="L42" s="33">
        <f>IF(L40+L41&lt;0,0,-(L40+L41)*$B$13)</f>
        <v>-70.950863166626263</v>
      </c>
    </row>
    <row r="43" spans="1:12" x14ac:dyDescent="0.35">
      <c r="A43" s="7" t="s">
        <v>49</v>
      </c>
      <c r="B43" s="6"/>
      <c r="C43" s="34">
        <f>C40+C42</f>
        <v>198.45309999999992</v>
      </c>
      <c r="D43" s="34">
        <f t="shared" ref="D43:L43" si="9">D40+D42</f>
        <v>304.8662757212881</v>
      </c>
      <c r="E43" s="34">
        <f t="shared" si="9"/>
        <v>416.03727393724722</v>
      </c>
      <c r="F43" s="34">
        <f t="shared" si="9"/>
        <v>532.19340096668418</v>
      </c>
      <c r="G43" s="34">
        <f t="shared" si="9"/>
        <v>653.573403221322</v>
      </c>
      <c r="H43" s="34">
        <f t="shared" si="9"/>
        <v>780.42806394753063</v>
      </c>
      <c r="I43" s="34">
        <f t="shared" si="9"/>
        <v>913.02083180273803</v>
      </c>
      <c r="J43" s="34">
        <f t="shared" si="9"/>
        <v>1051.6284829875938</v>
      </c>
      <c r="K43" s="34">
        <f t="shared" si="9"/>
        <v>1196.5418187487396</v>
      </c>
      <c r="L43" s="34">
        <f t="shared" si="9"/>
        <v>1348.066400165899</v>
      </c>
    </row>
    <row r="44" spans="1:12" x14ac:dyDescent="0.35">
      <c r="A44" s="16" t="s">
        <v>55</v>
      </c>
      <c r="B44" s="16"/>
      <c r="C44" s="33">
        <f>-C37</f>
        <v>625</v>
      </c>
      <c r="D44" s="33">
        <f t="shared" ref="D44:L44" si="10">-D37</f>
        <v>625</v>
      </c>
      <c r="E44" s="33">
        <f t="shared" si="10"/>
        <v>625</v>
      </c>
      <c r="F44" s="33">
        <f t="shared" si="10"/>
        <v>625</v>
      </c>
      <c r="G44" s="33">
        <f t="shared" si="10"/>
        <v>625</v>
      </c>
      <c r="H44" s="33">
        <f t="shared" si="10"/>
        <v>625</v>
      </c>
      <c r="I44" s="33">
        <f t="shared" si="10"/>
        <v>625</v>
      </c>
      <c r="J44" s="33">
        <f t="shared" si="10"/>
        <v>625</v>
      </c>
      <c r="K44" s="33">
        <f t="shared" si="10"/>
        <v>625</v>
      </c>
      <c r="L44" s="33">
        <f t="shared" si="10"/>
        <v>625</v>
      </c>
    </row>
    <row r="45" spans="1:12" x14ac:dyDescent="0.35">
      <c r="A45" s="7" t="s">
        <v>58</v>
      </c>
      <c r="B45" s="6"/>
      <c r="C45" s="34">
        <f>C43+C44</f>
        <v>823.45309999999995</v>
      </c>
      <c r="D45" s="34">
        <f t="shared" ref="D45:L45" si="11">D43+D44</f>
        <v>929.86627572128805</v>
      </c>
      <c r="E45" s="34">
        <f t="shared" si="11"/>
        <v>1041.0372739372472</v>
      </c>
      <c r="F45" s="34">
        <f t="shared" si="11"/>
        <v>1157.1934009666843</v>
      </c>
      <c r="G45" s="34">
        <f t="shared" si="11"/>
        <v>1278.573403221322</v>
      </c>
      <c r="H45" s="34">
        <f t="shared" si="11"/>
        <v>1405.4280639475305</v>
      </c>
      <c r="I45" s="34">
        <f t="shared" si="11"/>
        <v>1538.020831802738</v>
      </c>
      <c r="J45" s="34">
        <f t="shared" si="11"/>
        <v>1676.6284829875938</v>
      </c>
      <c r="K45" s="34">
        <f t="shared" si="11"/>
        <v>1821.5418187487396</v>
      </c>
      <c r="L45" s="34">
        <f t="shared" si="11"/>
        <v>1973.066400165899</v>
      </c>
    </row>
    <row r="46" spans="1:12" ht="6.65" customHeight="1" x14ac:dyDescent="0.35">
      <c r="A46" s="6"/>
      <c r="B46" s="6"/>
      <c r="C46" s="32"/>
      <c r="D46" s="32"/>
      <c r="E46" s="32"/>
      <c r="F46" s="32"/>
      <c r="G46" s="32"/>
      <c r="H46" s="32"/>
      <c r="I46" s="32"/>
      <c r="J46" s="32"/>
      <c r="K46" s="32"/>
      <c r="L46" s="32"/>
    </row>
    <row r="47" spans="1:12" x14ac:dyDescent="0.35">
      <c r="A47" s="15" t="s">
        <v>51</v>
      </c>
      <c r="B47" s="6"/>
      <c r="C47" s="32"/>
      <c r="D47" s="32"/>
      <c r="E47" s="32"/>
      <c r="F47" s="32"/>
      <c r="G47" s="32"/>
      <c r="H47" s="32"/>
      <c r="I47" s="32"/>
      <c r="J47" s="32"/>
      <c r="K47" s="32"/>
      <c r="L47" s="32"/>
    </row>
    <row r="48" spans="1:12" x14ac:dyDescent="0.35">
      <c r="A48" s="6" t="s">
        <v>108</v>
      </c>
      <c r="B48" s="6"/>
      <c r="C48" s="32"/>
      <c r="D48" s="32"/>
      <c r="E48" s="32"/>
      <c r="F48" s="32"/>
      <c r="G48" s="32"/>
      <c r="H48" s="32"/>
      <c r="I48" s="32"/>
      <c r="J48" s="32"/>
      <c r="K48" s="32"/>
      <c r="L48" s="32">
        <f>$B$5</f>
        <v>32637.969212642958</v>
      </c>
    </row>
    <row r="49" spans="1:23" x14ac:dyDescent="0.35">
      <c r="A49" s="8" t="s">
        <v>54</v>
      </c>
      <c r="B49" s="6"/>
      <c r="C49" s="32"/>
      <c r="D49" s="32"/>
      <c r="E49" s="32"/>
      <c r="F49" s="32"/>
      <c r="G49" s="32"/>
      <c r="H49" s="32"/>
      <c r="I49" s="32"/>
      <c r="J49" s="32"/>
      <c r="K49" s="32"/>
      <c r="L49" s="32">
        <f>-($B$5-L75)*$B$13</f>
        <v>-694.39846063214793</v>
      </c>
    </row>
    <row r="50" spans="1:23" x14ac:dyDescent="0.35">
      <c r="A50" s="16" t="s">
        <v>57</v>
      </c>
      <c r="B50" s="16"/>
      <c r="C50" s="33"/>
      <c r="D50" s="33"/>
      <c r="E50" s="33"/>
      <c r="F50" s="33"/>
      <c r="G50" s="33"/>
      <c r="H50" s="33"/>
      <c r="I50" s="33"/>
      <c r="J50" s="33"/>
      <c r="K50" s="33"/>
      <c r="L50" s="33">
        <f t="shared" ref="L50" si="12">$B$7</f>
        <v>0</v>
      </c>
    </row>
    <row r="51" spans="1:23" x14ac:dyDescent="0.35">
      <c r="A51" s="7" t="s">
        <v>60</v>
      </c>
      <c r="B51" s="6"/>
      <c r="C51" s="32"/>
      <c r="D51" s="32"/>
      <c r="E51" s="32"/>
      <c r="F51" s="32"/>
      <c r="G51" s="32"/>
      <c r="H51" s="32"/>
      <c r="I51" s="32"/>
      <c r="J51" s="32"/>
      <c r="K51" s="32"/>
      <c r="L51" s="34">
        <f t="shared" ref="L51" si="13">SUM(L48:L50)</f>
        <v>31943.570752010812</v>
      </c>
    </row>
    <row r="52" spans="1:23" x14ac:dyDescent="0.35">
      <c r="A52" s="7"/>
      <c r="B52" s="6"/>
      <c r="C52" s="32"/>
      <c r="D52" s="32"/>
      <c r="E52" s="32"/>
      <c r="F52" s="32"/>
      <c r="G52" s="32"/>
      <c r="H52" s="32"/>
      <c r="I52" s="32"/>
      <c r="J52" s="32"/>
      <c r="K52" s="32"/>
      <c r="L52" s="34"/>
    </row>
    <row r="53" spans="1:23" ht="9.15" customHeight="1" x14ac:dyDescent="0.35">
      <c r="A53" s="6"/>
      <c r="B53" s="6"/>
      <c r="C53" s="6"/>
      <c r="D53" s="6"/>
      <c r="E53" s="6"/>
      <c r="F53" s="6"/>
      <c r="G53" s="6"/>
      <c r="H53" s="6"/>
      <c r="I53" s="6"/>
      <c r="J53" s="6"/>
      <c r="K53" s="6"/>
      <c r="L53" s="6"/>
    </row>
    <row r="54" spans="1:23" x14ac:dyDescent="0.35">
      <c r="A54" s="27" t="s">
        <v>187</v>
      </c>
      <c r="B54" s="28">
        <f>B30</f>
        <v>-25000</v>
      </c>
      <c r="C54" s="28">
        <f>C45</f>
        <v>823.45309999999995</v>
      </c>
      <c r="D54" s="28">
        <f>D45</f>
        <v>929.86627572128805</v>
      </c>
      <c r="E54" s="28">
        <f>E45</f>
        <v>1041.0372739372472</v>
      </c>
      <c r="F54" s="28">
        <f t="shared" ref="F54:L54" si="14">F45+F51</f>
        <v>1157.1934009666843</v>
      </c>
      <c r="G54" s="28">
        <f t="shared" si="14"/>
        <v>1278.573403221322</v>
      </c>
      <c r="H54" s="28">
        <f t="shared" si="14"/>
        <v>1405.4280639475305</v>
      </c>
      <c r="I54" s="28">
        <f t="shared" si="14"/>
        <v>1538.020831802738</v>
      </c>
      <c r="J54" s="28">
        <f t="shared" si="14"/>
        <v>1676.6284829875938</v>
      </c>
      <c r="K54" s="28">
        <f t="shared" si="14"/>
        <v>1821.5418187487396</v>
      </c>
      <c r="L54" s="28">
        <f t="shared" si="14"/>
        <v>33916.637152176714</v>
      </c>
    </row>
    <row r="55" spans="1:23" outlineLevel="1" x14ac:dyDescent="0.35">
      <c r="A55" s="7" t="s">
        <v>29</v>
      </c>
      <c r="B55" s="46">
        <f t="shared" ref="B55:L55" si="15">B54/(1+$E$59)^B25</f>
        <v>-25000</v>
      </c>
      <c r="C55" s="46">
        <f t="shared" si="15"/>
        <v>773.19539906103284</v>
      </c>
      <c r="D55" s="46">
        <f t="shared" si="15"/>
        <v>819.82523372460332</v>
      </c>
      <c r="E55" s="46">
        <f t="shared" si="15"/>
        <v>861.82176176200016</v>
      </c>
      <c r="F55" s="46">
        <f t="shared" si="15"/>
        <v>899.51315120250831</v>
      </c>
      <c r="G55" s="46">
        <f t="shared" si="15"/>
        <v>933.20622509662269</v>
      </c>
      <c r="H55" s="46">
        <f t="shared" si="15"/>
        <v>963.18780374089181</v>
      </c>
      <c r="I55" s="46">
        <f t="shared" si="15"/>
        <v>989.72596381038818</v>
      </c>
      <c r="J55" s="46">
        <f t="shared" si="15"/>
        <v>1013.0712195037479</v>
      </c>
      <c r="K55" s="46">
        <f t="shared" si="15"/>
        <v>1033.4576304932664</v>
      </c>
      <c r="L55" s="46">
        <f t="shared" si="15"/>
        <v>18068.275648267383</v>
      </c>
    </row>
    <row r="56" spans="1:23" outlineLevel="1" x14ac:dyDescent="0.35">
      <c r="A56" s="6" t="s">
        <v>66</v>
      </c>
      <c r="B56" s="47">
        <f>B54</f>
        <v>-25000</v>
      </c>
      <c r="C56" s="47">
        <f t="shared" ref="C56:K57" si="16">B56+C54</f>
        <v>-24176.546900000001</v>
      </c>
      <c r="D56" s="47">
        <f t="shared" si="16"/>
        <v>-23246.680624278713</v>
      </c>
      <c r="E56" s="47">
        <f t="shared" si="16"/>
        <v>-22205.643350341466</v>
      </c>
      <c r="F56" s="47">
        <f t="shared" si="16"/>
        <v>-21048.449949374783</v>
      </c>
      <c r="G56" s="47">
        <f t="shared" si="16"/>
        <v>-19769.87654615346</v>
      </c>
      <c r="H56" s="47">
        <f t="shared" si="16"/>
        <v>-18364.448482205931</v>
      </c>
      <c r="I56" s="47">
        <f t="shared" si="16"/>
        <v>-16826.427650403195</v>
      </c>
      <c r="J56" s="47">
        <f t="shared" si="16"/>
        <v>-15149.799167415602</v>
      </c>
      <c r="K56" s="47">
        <f t="shared" si="16"/>
        <v>-13328.257348666863</v>
      </c>
      <c r="L56" s="47">
        <f>K56+L54</f>
        <v>20588.379803509852</v>
      </c>
    </row>
    <row r="57" spans="1:23" outlineLevel="1" x14ac:dyDescent="0.35">
      <c r="A57" s="6" t="s">
        <v>67</v>
      </c>
      <c r="B57" s="47">
        <f>B55</f>
        <v>-25000</v>
      </c>
      <c r="C57" s="47">
        <f t="shared" si="16"/>
        <v>-24226.804600938965</v>
      </c>
      <c r="D57" s="47">
        <f t="shared" si="16"/>
        <v>-23406.979367214361</v>
      </c>
      <c r="E57" s="47">
        <f t="shared" si="16"/>
        <v>-22545.157605452361</v>
      </c>
      <c r="F57" s="47">
        <f t="shared" si="16"/>
        <v>-21645.644454249854</v>
      </c>
      <c r="G57" s="47">
        <f t="shared" si="16"/>
        <v>-20712.438229153231</v>
      </c>
      <c r="H57" s="47">
        <f t="shared" si="16"/>
        <v>-19749.250425412338</v>
      </c>
      <c r="I57" s="47">
        <f t="shared" si="16"/>
        <v>-18759.524461601948</v>
      </c>
      <c r="J57" s="47">
        <f t="shared" si="16"/>
        <v>-17746.4532420982</v>
      </c>
      <c r="K57" s="47">
        <f t="shared" si="16"/>
        <v>-16712.995611604932</v>
      </c>
      <c r="L57" s="47">
        <f>K57+L55</f>
        <v>1355.2800366624506</v>
      </c>
      <c r="N57" s="91" t="s">
        <v>184</v>
      </c>
      <c r="O57" s="91"/>
      <c r="P57" s="91"/>
      <c r="Q57" s="91"/>
      <c r="R57" s="91"/>
      <c r="S57" s="91"/>
      <c r="T57" s="91"/>
      <c r="U57" s="91"/>
      <c r="V57" s="91"/>
      <c r="W57" s="91"/>
    </row>
    <row r="58" spans="1:23" ht="15.65" customHeight="1" x14ac:dyDescent="0.35">
      <c r="A58" s="6"/>
      <c r="B58" s="6"/>
      <c r="C58" s="6"/>
      <c r="D58" s="6"/>
      <c r="E58" s="6"/>
      <c r="F58" s="6"/>
      <c r="G58" s="6"/>
      <c r="H58" s="6"/>
      <c r="I58" s="6"/>
      <c r="J58" s="6"/>
      <c r="K58" s="6"/>
      <c r="L58" s="6"/>
      <c r="N58" s="91" t="s">
        <v>176</v>
      </c>
      <c r="O58" s="91"/>
      <c r="P58" s="91"/>
      <c r="Q58" s="91"/>
      <c r="R58" s="91"/>
      <c r="S58" s="91"/>
      <c r="T58" s="91"/>
      <c r="U58" s="91"/>
      <c r="V58" s="91"/>
      <c r="W58" s="91"/>
    </row>
    <row r="59" spans="1:23" x14ac:dyDescent="0.35">
      <c r="A59" s="21" t="s">
        <v>24</v>
      </c>
      <c r="B59" s="22">
        <f>SUM(B55:L55)</f>
        <v>1355.2800366624506</v>
      </c>
      <c r="C59" s="25"/>
      <c r="D59" s="21" t="s">
        <v>65</v>
      </c>
      <c r="E59" s="23">
        <v>6.5000000000000002E-2</v>
      </c>
      <c r="F59" s="6"/>
      <c r="G59" s="6"/>
      <c r="H59" s="6"/>
      <c r="I59" s="6"/>
      <c r="J59" s="6"/>
      <c r="K59" s="6"/>
      <c r="L59" s="6"/>
      <c r="N59" s="91" t="s">
        <v>177</v>
      </c>
      <c r="O59" s="91"/>
      <c r="P59" s="91"/>
      <c r="Q59" s="91"/>
      <c r="R59" s="91"/>
      <c r="S59" s="91"/>
      <c r="T59" s="91"/>
      <c r="U59" s="91"/>
      <c r="V59" s="91"/>
      <c r="W59" s="91"/>
    </row>
    <row r="60" spans="1:23" x14ac:dyDescent="0.35">
      <c r="A60" s="21" t="s">
        <v>62</v>
      </c>
      <c r="B60" s="23">
        <f>IRR(B54:L54)</f>
        <v>7.165121563210608E-2</v>
      </c>
      <c r="C60" s="25"/>
      <c r="D60" s="25" t="s">
        <v>219</v>
      </c>
      <c r="E60" s="25"/>
      <c r="F60" s="6"/>
      <c r="G60" s="13"/>
      <c r="H60" s="6"/>
      <c r="I60" s="6"/>
      <c r="J60" s="6"/>
      <c r="K60" s="6"/>
      <c r="L60" s="6"/>
      <c r="N60" s="91" t="s">
        <v>178</v>
      </c>
      <c r="O60" s="91"/>
      <c r="P60" s="91"/>
      <c r="Q60" s="91"/>
      <c r="R60" s="91"/>
      <c r="S60" s="91"/>
      <c r="T60" s="91"/>
      <c r="U60" s="91"/>
      <c r="V60" s="91"/>
      <c r="W60" s="91"/>
    </row>
    <row r="61" spans="1:23" x14ac:dyDescent="0.35">
      <c r="A61" s="21" t="s">
        <v>109</v>
      </c>
      <c r="B61" s="23">
        <f>MIRR(B54:L54,E59,E59)</f>
        <v>7.0637301722690671E-2</v>
      </c>
      <c r="C61" s="25"/>
      <c r="D61" s="25" t="s">
        <v>220</v>
      </c>
      <c r="E61" s="25"/>
      <c r="F61" s="6"/>
      <c r="G61" s="13"/>
      <c r="H61" s="6"/>
      <c r="I61" s="6"/>
      <c r="J61" s="6"/>
      <c r="K61" s="6"/>
      <c r="L61" s="6"/>
      <c r="N61" s="91" t="s">
        <v>179</v>
      </c>
      <c r="O61" s="91"/>
      <c r="P61" s="91"/>
      <c r="Q61" s="91"/>
      <c r="R61" s="91"/>
      <c r="S61" s="91"/>
      <c r="T61" s="91"/>
      <c r="U61" s="91"/>
      <c r="V61" s="91"/>
      <c r="W61" s="91"/>
    </row>
    <row r="62" spans="1:23" x14ac:dyDescent="0.35">
      <c r="A62" s="21" t="s">
        <v>63</v>
      </c>
      <c r="B62" s="24">
        <f>MATCH(0,B56:L56)-1+-INDEX(B56:L56,1,MATCH(0,B56:L56))/INDEX(C54:L54,1,MATCH(0,B56:L56))</f>
        <v>9.3929710746046489</v>
      </c>
      <c r="C62" s="25"/>
      <c r="D62" s="25"/>
      <c r="E62" s="25"/>
      <c r="F62" s="6"/>
      <c r="G62" s="6"/>
      <c r="H62" s="6"/>
      <c r="I62" s="6"/>
      <c r="J62" s="6"/>
      <c r="K62" s="6"/>
      <c r="L62" s="6"/>
      <c r="N62" s="91" t="s">
        <v>180</v>
      </c>
      <c r="O62" s="91"/>
      <c r="P62" s="91"/>
      <c r="Q62" s="91"/>
      <c r="R62" s="91"/>
      <c r="S62" s="91"/>
      <c r="T62" s="91"/>
      <c r="U62" s="91"/>
      <c r="V62" s="91"/>
      <c r="W62" s="91"/>
    </row>
    <row r="63" spans="1:23" x14ac:dyDescent="0.35">
      <c r="A63" s="21" t="s">
        <v>64</v>
      </c>
      <c r="B63" s="24">
        <f>MATCH(0,B57:L57)-1+-INDEX(B57:L57,1,MATCH(0,B57:L57))/INDEX(C55:L55,1,MATCH(0,B57:L57))</f>
        <v>9.9249911799528903</v>
      </c>
      <c r="C63" s="25"/>
      <c r="D63" s="25"/>
      <c r="E63" s="25"/>
      <c r="F63" s="6"/>
      <c r="G63" s="6"/>
      <c r="H63" s="6"/>
      <c r="I63" s="6"/>
      <c r="J63" s="6"/>
      <c r="K63" s="6"/>
      <c r="L63" s="6"/>
      <c r="N63" s="91" t="s">
        <v>181</v>
      </c>
      <c r="O63" s="91"/>
      <c r="P63" s="91"/>
      <c r="Q63" s="91"/>
      <c r="R63" s="91"/>
      <c r="S63" s="91"/>
      <c r="T63" s="91"/>
      <c r="U63" s="91"/>
      <c r="V63" s="91"/>
      <c r="W63" s="91"/>
    </row>
    <row r="64" spans="1:23" x14ac:dyDescent="0.35">
      <c r="A64" s="6"/>
      <c r="B64" s="6"/>
      <c r="C64" s="6"/>
      <c r="D64" s="6"/>
      <c r="E64" s="6"/>
      <c r="F64" s="6"/>
      <c r="G64" s="6"/>
      <c r="H64" s="6"/>
      <c r="I64" s="6"/>
      <c r="J64" s="6"/>
      <c r="K64" s="6"/>
      <c r="L64" s="6"/>
      <c r="N64" s="91" t="s">
        <v>182</v>
      </c>
      <c r="O64" s="91"/>
      <c r="P64" s="91"/>
      <c r="Q64" s="91"/>
      <c r="R64" s="91"/>
      <c r="S64" s="91"/>
      <c r="T64" s="91"/>
      <c r="U64" s="91"/>
      <c r="V64" s="91"/>
      <c r="W64" s="91"/>
    </row>
    <row r="65" spans="1:23" x14ac:dyDescent="0.35">
      <c r="A65" s="6" t="s">
        <v>185</v>
      </c>
      <c r="B65" s="107">
        <f>-H18</f>
        <v>-625</v>
      </c>
      <c r="C65" s="40">
        <f t="shared" ref="C65:K65" si="17">PPMT($B$19,C25,$L$25,$E$17,E20)</f>
        <v>-1165.0165305509709</v>
      </c>
      <c r="D65" s="40">
        <f t="shared" si="17"/>
        <v>-1024.2436997760619</v>
      </c>
      <c r="E65" s="40">
        <f t="shared" si="17"/>
        <v>-1080.5771032637454</v>
      </c>
      <c r="F65" s="40">
        <f t="shared" si="17"/>
        <v>-1140.0088439432513</v>
      </c>
      <c r="G65" s="40">
        <f t="shared" si="17"/>
        <v>-1202.7093303601303</v>
      </c>
      <c r="H65" s="40">
        <f t="shared" si="17"/>
        <v>-1268.8583435299372</v>
      </c>
      <c r="I65" s="40">
        <f t="shared" si="17"/>
        <v>-1338.6455524240837</v>
      </c>
      <c r="J65" s="40">
        <f t="shared" si="17"/>
        <v>-1412.2710578074086</v>
      </c>
      <c r="K65" s="40">
        <f t="shared" si="17"/>
        <v>-1489.9459659868157</v>
      </c>
      <c r="L65" s="40">
        <f>PPMT($B$19,L25,$L$25,$E$17,N20)-E20</f>
        <v>-4071.8929941160909</v>
      </c>
      <c r="N65" s="108" t="s">
        <v>183</v>
      </c>
      <c r="O65" s="91"/>
      <c r="P65" s="91"/>
      <c r="Q65" s="91"/>
      <c r="R65" s="91"/>
      <c r="S65" s="91"/>
      <c r="T65" s="91"/>
      <c r="U65" s="91"/>
      <c r="V65" s="91"/>
      <c r="W65" s="91"/>
    </row>
    <row r="66" spans="1:23" x14ac:dyDescent="0.35">
      <c r="A66" s="111" t="s">
        <v>175</v>
      </c>
      <c r="B66" s="116">
        <f>B54+B65</f>
        <v>-25625</v>
      </c>
      <c r="C66" s="116">
        <f>C54+C65</f>
        <v>-341.56343055097091</v>
      </c>
      <c r="D66" s="116">
        <f t="shared" ref="D66:L66" si="18">D54+D65</f>
        <v>-94.377424054773883</v>
      </c>
      <c r="E66" s="116">
        <f t="shared" si="18"/>
        <v>-39.539829326498193</v>
      </c>
      <c r="F66" s="116">
        <f t="shared" si="18"/>
        <v>17.184557023432944</v>
      </c>
      <c r="G66" s="116">
        <f t="shared" si="18"/>
        <v>75.864072861191744</v>
      </c>
      <c r="H66" s="116">
        <f t="shared" si="18"/>
        <v>136.56972041759332</v>
      </c>
      <c r="I66" s="116">
        <f t="shared" si="18"/>
        <v>199.37527937865434</v>
      </c>
      <c r="J66" s="116">
        <f t="shared" si="18"/>
        <v>264.35742518018515</v>
      </c>
      <c r="K66" s="116">
        <f t="shared" si="18"/>
        <v>331.59585276192388</v>
      </c>
      <c r="L66" s="116">
        <f t="shared" si="18"/>
        <v>29844.744158060625</v>
      </c>
      <c r="N66" s="108" t="s">
        <v>188</v>
      </c>
      <c r="O66" s="108"/>
      <c r="P66" s="108"/>
      <c r="Q66" s="108"/>
      <c r="R66" s="108"/>
      <c r="S66" s="108"/>
      <c r="T66" s="108"/>
      <c r="U66" s="108"/>
      <c r="V66" s="108"/>
      <c r="W66" s="108"/>
    </row>
    <row r="67" spans="1:23" x14ac:dyDescent="0.35">
      <c r="A67" s="103"/>
      <c r="B67" s="117"/>
      <c r="C67" s="105"/>
      <c r="D67" s="105"/>
      <c r="E67" s="105"/>
      <c r="F67" s="105"/>
      <c r="G67" s="105"/>
      <c r="H67" s="105"/>
      <c r="I67" s="105"/>
      <c r="J67" s="105"/>
      <c r="K67" s="105"/>
      <c r="L67" s="105"/>
      <c r="N67" s="100"/>
    </row>
    <row r="68" spans="1:23" x14ac:dyDescent="0.35">
      <c r="A68" s="92" t="s">
        <v>169</v>
      </c>
      <c r="B68" s="106">
        <f>-E18+B65</f>
        <v>-13125</v>
      </c>
      <c r="C68" s="95">
        <f>C66</f>
        <v>-341.56343055097091</v>
      </c>
      <c r="D68" s="95">
        <f t="shared" ref="D68:L68" si="19">D66</f>
        <v>-94.377424054773883</v>
      </c>
      <c r="E68" s="95">
        <f t="shared" si="19"/>
        <v>-39.539829326498193</v>
      </c>
      <c r="F68" s="95">
        <f t="shared" si="19"/>
        <v>17.184557023432944</v>
      </c>
      <c r="G68" s="95">
        <f t="shared" si="19"/>
        <v>75.864072861191744</v>
      </c>
      <c r="H68" s="95">
        <f t="shared" si="19"/>
        <v>136.56972041759332</v>
      </c>
      <c r="I68" s="95">
        <f t="shared" si="19"/>
        <v>199.37527937865434</v>
      </c>
      <c r="J68" s="95">
        <f t="shared" si="19"/>
        <v>264.35742518018515</v>
      </c>
      <c r="K68" s="95">
        <f t="shared" si="19"/>
        <v>331.59585276192388</v>
      </c>
      <c r="L68" s="95">
        <f t="shared" si="19"/>
        <v>29844.744158060625</v>
      </c>
      <c r="N68" s="100" t="s">
        <v>170</v>
      </c>
    </row>
    <row r="69" spans="1:23" x14ac:dyDescent="0.35">
      <c r="A69" s="92" t="s">
        <v>161</v>
      </c>
      <c r="B69" s="106"/>
      <c r="C69" s="102">
        <f>-C68/$B$68</f>
        <v>-2.6023880422931116E-2</v>
      </c>
      <c r="D69" s="102">
        <f>-D68/$B$68</f>
        <v>-7.1906608803637244E-3</v>
      </c>
      <c r="E69" s="102">
        <f t="shared" ref="E69:L69" si="20">-E68/$B$68</f>
        <v>-3.012558424876053E-3</v>
      </c>
      <c r="F69" s="102">
        <f t="shared" si="20"/>
        <v>1.3092995827377481E-3</v>
      </c>
      <c r="G69" s="102">
        <f t="shared" si="20"/>
        <v>5.7801198370431807E-3</v>
      </c>
      <c r="H69" s="102">
        <f t="shared" si="20"/>
        <v>1.0405312031816634E-2</v>
      </c>
      <c r="I69" s="102">
        <f t="shared" si="20"/>
        <v>1.5190497476468902E-2</v>
      </c>
      <c r="J69" s="102">
        <f t="shared" si="20"/>
        <v>2.0141518108966486E-2</v>
      </c>
      <c r="K69" s="102">
        <f t="shared" si="20"/>
        <v>2.526444592471801E-2</v>
      </c>
      <c r="L69" s="102">
        <f t="shared" si="20"/>
        <v>2.2738852691855715</v>
      </c>
      <c r="N69" s="100" t="s">
        <v>171</v>
      </c>
    </row>
    <row r="70" spans="1:23" x14ac:dyDescent="0.35">
      <c r="A70" s="109" t="s">
        <v>156</v>
      </c>
      <c r="B70" s="110">
        <f>IRR(B68:L68)</f>
        <v>8.6653993526805806E-2</v>
      </c>
      <c r="C70" s="95"/>
      <c r="D70" s="95"/>
      <c r="E70" s="95"/>
      <c r="F70" s="95"/>
      <c r="G70" s="95"/>
      <c r="H70" s="95"/>
      <c r="I70" s="95"/>
      <c r="J70" s="95"/>
      <c r="K70" s="95"/>
      <c r="L70" s="95"/>
      <c r="N70" s="100" t="s">
        <v>172</v>
      </c>
    </row>
    <row r="71" spans="1:23" x14ac:dyDescent="0.35">
      <c r="A71" s="6"/>
      <c r="B71" s="6"/>
      <c r="C71" s="6"/>
      <c r="D71" s="6"/>
      <c r="E71" s="6"/>
      <c r="F71" s="6"/>
      <c r="G71" s="6"/>
      <c r="H71" s="6"/>
      <c r="I71" s="6"/>
      <c r="J71" s="6"/>
      <c r="K71" s="6"/>
      <c r="L71" s="6"/>
      <c r="N71" s="100" t="s">
        <v>173</v>
      </c>
    </row>
    <row r="72" spans="1:23" x14ac:dyDescent="0.35">
      <c r="A72" s="17" t="s">
        <v>50</v>
      </c>
      <c r="B72" s="17"/>
      <c r="C72" s="17"/>
      <c r="D72" s="17"/>
      <c r="E72" s="17"/>
      <c r="F72" s="17"/>
      <c r="G72" s="17"/>
      <c r="H72" s="17"/>
      <c r="I72" s="17"/>
      <c r="J72" s="17"/>
      <c r="K72" s="17"/>
      <c r="L72" s="17"/>
      <c r="N72" s="100" t="s">
        <v>174</v>
      </c>
    </row>
    <row r="73" spans="1:23" x14ac:dyDescent="0.35">
      <c r="A73" s="17" t="s">
        <v>100</v>
      </c>
      <c r="B73" s="17"/>
      <c r="C73" s="29">
        <f>$B$14</f>
        <v>2.5000000000000001E-2</v>
      </c>
      <c r="D73" s="29">
        <f>C73</f>
        <v>2.5000000000000001E-2</v>
      </c>
      <c r="E73" s="29">
        <f>D73</f>
        <v>2.5000000000000001E-2</v>
      </c>
      <c r="F73" s="29">
        <f>E73</f>
        <v>2.5000000000000001E-2</v>
      </c>
      <c r="G73" s="29">
        <f>F73</f>
        <v>2.5000000000000001E-2</v>
      </c>
      <c r="H73" s="29">
        <f>G73</f>
        <v>2.5000000000000001E-2</v>
      </c>
      <c r="I73" s="29">
        <f t="shared" ref="I73:K73" si="21">H73</f>
        <v>2.5000000000000001E-2</v>
      </c>
      <c r="J73" s="29">
        <f t="shared" si="21"/>
        <v>2.5000000000000001E-2</v>
      </c>
      <c r="K73" s="29">
        <f t="shared" si="21"/>
        <v>2.5000000000000001E-2</v>
      </c>
      <c r="L73" s="29">
        <f>K73</f>
        <v>2.5000000000000001E-2</v>
      </c>
    </row>
    <row r="74" spans="1:23" x14ac:dyDescent="0.35">
      <c r="A74" s="17"/>
      <c r="B74" s="17"/>
      <c r="C74" s="17"/>
      <c r="D74" s="17"/>
      <c r="E74" s="17"/>
      <c r="F74" s="17"/>
      <c r="G74" s="17"/>
      <c r="H74" s="17"/>
      <c r="I74" s="17"/>
      <c r="J74" s="17"/>
      <c r="K74" s="17"/>
      <c r="L74" s="17"/>
    </row>
    <row r="75" spans="1:23" x14ac:dyDescent="0.35">
      <c r="A75" s="17" t="s">
        <v>53</v>
      </c>
      <c r="B75" s="48">
        <f>B3+B4</f>
        <v>25000</v>
      </c>
      <c r="C75" s="48">
        <f>B75-C73*$B$75</f>
        <v>24375</v>
      </c>
      <c r="D75" s="48">
        <f t="shared" ref="D75:K75" si="22">C75-D73*$B$75</f>
        <v>23750</v>
      </c>
      <c r="E75" s="48">
        <f t="shared" si="22"/>
        <v>23125</v>
      </c>
      <c r="F75" s="48">
        <f t="shared" si="22"/>
        <v>22500</v>
      </c>
      <c r="G75" s="48">
        <f t="shared" si="22"/>
        <v>21875</v>
      </c>
      <c r="H75" s="48">
        <f t="shared" si="22"/>
        <v>21250</v>
      </c>
      <c r="I75" s="48">
        <f t="shared" si="22"/>
        <v>20625</v>
      </c>
      <c r="J75" s="48">
        <f t="shared" si="22"/>
        <v>20000</v>
      </c>
      <c r="K75" s="48">
        <f t="shared" si="22"/>
        <v>19375</v>
      </c>
      <c r="L75" s="48">
        <f>K75-L73*$B$75</f>
        <v>18750</v>
      </c>
    </row>
    <row r="76" spans="1:23" x14ac:dyDescent="0.35">
      <c r="A76" s="6"/>
      <c r="B76" s="6"/>
      <c r="C76" s="6"/>
      <c r="D76" s="6"/>
      <c r="E76" s="6"/>
      <c r="F76" s="6"/>
      <c r="G76" s="6"/>
      <c r="H76" s="6"/>
      <c r="I76" s="6"/>
      <c r="J76" s="6"/>
      <c r="K76" s="6"/>
      <c r="L76" s="6"/>
    </row>
  </sheetData>
  <conditionalFormatting sqref="B69:L69">
    <cfRule type="cellIs" dxfId="0" priority="1" operator="lessThan">
      <formula>0</formula>
    </cfRule>
  </conditionalFormatting>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7C4D86-EDD2-443A-9E5F-33AAA8C43A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Tools</vt:lpstr>
      <vt:lpstr>Sheet3</vt:lpstr>
      <vt:lpstr>Sheet1</vt:lpstr>
      <vt:lpstr>Real Estate (simple)</vt:lpstr>
      <vt:lpstr>HEP expansion</vt:lpstr>
      <vt:lpstr>Sheet4</vt:lpstr>
      <vt:lpstr>Sheet2</vt:lpstr>
      <vt:lpstr>HEP expansion with inflation</vt:lpstr>
      <vt:lpstr>HEP replacement</vt:lpstr>
      <vt:lpstr>HEP replacement with inflation</vt:lpstr>
      <vt:lpstr>Scenario Summary 2</vt:lpstr>
      <vt:lpstr>HEP expansion + infl + Sens</vt:lpstr>
      <vt:lpstr>HEP expansion + infl + Sens (2</vt:lpstr>
      <vt:lpstr>HEP expansion + wacc</vt:lpstr>
      <vt:lpstr>HEP exp.+financing in practice</vt:lpstr>
      <vt:lpstr>Real Estate + WACC</vt:lpstr>
      <vt:lpstr>Real Estate + fin. in practice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2020-08-01T20:23:42Z</dcterms:modified>
</cp:coreProperties>
</file>