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hysics\Linacs\MECC Truebeam\Annual QA\2025 March\"/>
    </mc:Choice>
  </mc:AlternateContent>
  <bookViews>
    <workbookView xWindow="-120" yWindow="-120" windowWidth="34080" windowHeight="22200" tabRatio="476" activeTab="1"/>
  </bookViews>
  <sheets>
    <sheet name="Cover" sheetId="10" r:id="rId1"/>
    <sheet name="Dosimetry" sheetId="1" r:id="rId2"/>
    <sheet name="Mechanical" sheetId="2" r:id="rId3"/>
    <sheet name="EDW" sheetId="3" r:id="rId4"/>
    <sheet name="MLC" sheetId="4" r:id="rId5"/>
    <sheet name="Imaging" sheetId="5" r:id="rId6"/>
    <sheet name="Cross Cal" sheetId="6" r:id="rId7"/>
    <sheet name="TG-51 Photon" sheetId="7" r:id="rId8"/>
    <sheet name="TG-51 Electron" sheetId="8" r:id="rId9"/>
    <sheet name="PDDs" sheetId="9" r:id="rId10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0" i="1" l="1"/>
  <c r="L190" i="1"/>
  <c r="C191" i="1"/>
  <c r="F191" i="1"/>
  <c r="I191" i="1"/>
  <c r="L191" i="1"/>
  <c r="O191" i="1"/>
  <c r="H220" i="1"/>
  <c r="F228" i="1"/>
  <c r="F227" i="1"/>
  <c r="F226" i="1"/>
  <c r="F225" i="1"/>
  <c r="F224" i="1"/>
  <c r="F223" i="1"/>
  <c r="F222" i="1"/>
  <c r="F221" i="1"/>
  <c r="F220" i="1"/>
  <c r="F219" i="1"/>
  <c r="F179" i="1"/>
  <c r="G179" i="1" s="1"/>
  <c r="D181" i="1"/>
  <c r="D179" i="1"/>
  <c r="J179" i="1"/>
  <c r="M179" i="1"/>
  <c r="P179" i="1"/>
  <c r="D200" i="1"/>
  <c r="H205" i="1" l="1"/>
  <c r="H203" i="1"/>
  <c r="H200" i="1"/>
  <c r="F200" i="1"/>
  <c r="F201" i="1"/>
  <c r="F202" i="1"/>
  <c r="F203" i="1"/>
  <c r="F204" i="1"/>
  <c r="F205" i="1"/>
  <c r="F206" i="1"/>
  <c r="F207" i="1"/>
  <c r="F208" i="1"/>
  <c r="D203" i="1"/>
  <c r="P108" i="1" l="1"/>
  <c r="M108" i="1"/>
  <c r="J108" i="1"/>
  <c r="G108" i="1"/>
  <c r="D108" i="1"/>
  <c r="P98" i="1"/>
  <c r="M98" i="1"/>
  <c r="J98" i="1"/>
  <c r="G98" i="1"/>
  <c r="D98" i="1"/>
  <c r="F42" i="7" l="1"/>
  <c r="F35" i="7"/>
  <c r="F36" i="7"/>
  <c r="E36" i="7" l="1"/>
  <c r="E35" i="7"/>
  <c r="D36" i="7"/>
  <c r="D35" i="7"/>
  <c r="C36" i="7"/>
  <c r="C35" i="7"/>
  <c r="B36" i="7"/>
  <c r="F24" i="7" l="1"/>
  <c r="E24" i="7"/>
  <c r="D24" i="7"/>
  <c r="C24" i="7"/>
  <c r="B24" i="7"/>
  <c r="F44" i="8"/>
  <c r="F38" i="8"/>
  <c r="F37" i="8"/>
  <c r="E38" i="8"/>
  <c r="E37" i="8"/>
  <c r="D38" i="8"/>
  <c r="D37" i="8"/>
  <c r="C38" i="8"/>
  <c r="C37" i="8"/>
  <c r="B44" i="8"/>
  <c r="D40" i="6"/>
  <c r="D41" i="6"/>
  <c r="F24" i="8"/>
  <c r="E24" i="8"/>
  <c r="D24" i="8"/>
  <c r="C24" i="8"/>
  <c r="B24" i="8"/>
  <c r="N13" i="9"/>
  <c r="M13" i="9" s="1"/>
  <c r="U58" i="9"/>
  <c r="U57" i="9"/>
  <c r="U56" i="9"/>
  <c r="U55" i="9"/>
  <c r="U54" i="9"/>
  <c r="U53" i="9"/>
  <c r="U52" i="9"/>
  <c r="U51" i="9"/>
  <c r="U50" i="9"/>
  <c r="Q58" i="9"/>
  <c r="Q57" i="9"/>
  <c r="Q56" i="9"/>
  <c r="Q55" i="9"/>
  <c r="Q54" i="9"/>
  <c r="Q53" i="9"/>
  <c r="Q52" i="9"/>
  <c r="Q51" i="9"/>
  <c r="Q50" i="9"/>
  <c r="M56" i="9"/>
  <c r="M58" i="9"/>
  <c r="M57" i="9"/>
  <c r="M55" i="9"/>
  <c r="M54" i="9"/>
  <c r="M53" i="9"/>
  <c r="M52" i="9"/>
  <c r="M51" i="9"/>
  <c r="M50" i="9"/>
  <c r="I57" i="9"/>
  <c r="I56" i="9"/>
  <c r="I55" i="9"/>
  <c r="I53" i="9"/>
  <c r="I52" i="9"/>
  <c r="I51" i="9"/>
  <c r="I50" i="9"/>
  <c r="E55" i="9"/>
  <c r="E56" i="9"/>
  <c r="E51" i="9"/>
  <c r="E52" i="9"/>
  <c r="E53" i="9"/>
  <c r="E54" i="9"/>
  <c r="E57" i="9"/>
  <c r="E50" i="9"/>
  <c r="M28" i="9"/>
  <c r="M29" i="9"/>
  <c r="M30" i="9"/>
  <c r="M31" i="9"/>
  <c r="M32" i="9"/>
  <c r="M33" i="9"/>
  <c r="M34" i="9"/>
  <c r="I10" i="9" s="1"/>
  <c r="M35" i="9"/>
  <c r="M27" i="9"/>
  <c r="I28" i="9"/>
  <c r="I29" i="9"/>
  <c r="I30" i="9"/>
  <c r="I31" i="9"/>
  <c r="I32" i="9"/>
  <c r="I33" i="9"/>
  <c r="I34" i="9"/>
  <c r="I35" i="9"/>
  <c r="I11" i="9" s="1"/>
  <c r="I27" i="9"/>
  <c r="E28" i="9"/>
  <c r="E29" i="9"/>
  <c r="E30" i="9"/>
  <c r="E31" i="9"/>
  <c r="E32" i="9"/>
  <c r="E33" i="9"/>
  <c r="I9" i="9" s="1"/>
  <c r="E27" i="9"/>
  <c r="T34" i="9"/>
  <c r="U32" i="9" s="1"/>
  <c r="P34" i="9"/>
  <c r="Q27" i="9" s="1"/>
  <c r="C9" i="9"/>
  <c r="Q33" i="9" l="1"/>
  <c r="U30" i="9"/>
  <c r="Q34" i="9"/>
  <c r="I12" i="9" s="1"/>
  <c r="Q31" i="9"/>
  <c r="Q32" i="9"/>
  <c r="Q30" i="9"/>
  <c r="Q28" i="9"/>
  <c r="U31" i="9"/>
  <c r="U29" i="9"/>
  <c r="U28" i="9"/>
  <c r="Q29" i="9"/>
  <c r="U27" i="9"/>
  <c r="U35" i="9"/>
  <c r="U34" i="9"/>
  <c r="I13" i="9" s="1"/>
  <c r="U33" i="9"/>
  <c r="C11" i="9" l="1"/>
  <c r="C10" i="9"/>
  <c r="G169" i="1"/>
  <c r="F169" i="1"/>
  <c r="E169" i="1"/>
  <c r="D169" i="1"/>
  <c r="D170" i="1" s="1"/>
  <c r="D172" i="1" s="1"/>
  <c r="C169" i="1"/>
  <c r="N169" i="1"/>
  <c r="M169" i="1"/>
  <c r="L169" i="1"/>
  <c r="K169" i="1"/>
  <c r="K170" i="1" s="1"/>
  <c r="K172" i="1" s="1"/>
  <c r="J169" i="1"/>
  <c r="U159" i="1"/>
  <c r="T159" i="1"/>
  <c r="S159" i="1"/>
  <c r="R159" i="1"/>
  <c r="Q159" i="1"/>
  <c r="N159" i="1"/>
  <c r="M159" i="1"/>
  <c r="L159" i="1"/>
  <c r="K159" i="1"/>
  <c r="K160" i="1" s="1"/>
  <c r="K162" i="1" s="1"/>
  <c r="J159" i="1"/>
  <c r="G159" i="1"/>
  <c r="F159" i="1"/>
  <c r="E159" i="1"/>
  <c r="D159" i="1"/>
  <c r="D160" i="1" s="1"/>
  <c r="D162" i="1" s="1"/>
  <c r="C159" i="1"/>
  <c r="T134" i="1"/>
  <c r="S134" i="1"/>
  <c r="R134" i="1"/>
  <c r="Q134" i="1"/>
  <c r="P134" i="1"/>
  <c r="O134" i="1"/>
  <c r="O135" i="1" s="1"/>
  <c r="O137" i="1" s="1"/>
  <c r="N134" i="1"/>
  <c r="M134" i="1"/>
  <c r="C145" i="1"/>
  <c r="J134" i="1"/>
  <c r="I134" i="1"/>
  <c r="H134" i="1"/>
  <c r="G134" i="1"/>
  <c r="F134" i="1"/>
  <c r="E134" i="1"/>
  <c r="E135" i="1" s="1"/>
  <c r="E137" i="1" s="1"/>
  <c r="D134" i="1"/>
  <c r="C134" i="1"/>
  <c r="J145" i="1"/>
  <c r="I145" i="1"/>
  <c r="H145" i="1"/>
  <c r="G145" i="1"/>
  <c r="F145" i="1"/>
  <c r="E145" i="1"/>
  <c r="E146" i="1" s="1"/>
  <c r="E148" i="1" s="1"/>
  <c r="D145" i="1"/>
  <c r="T123" i="1"/>
  <c r="S123" i="1"/>
  <c r="R123" i="1"/>
  <c r="Q123" i="1"/>
  <c r="P123" i="1"/>
  <c r="O123" i="1"/>
  <c r="O124" i="1" s="1"/>
  <c r="O126" i="1" s="1"/>
  <c r="N123" i="1"/>
  <c r="M123" i="1"/>
  <c r="D123" i="1"/>
  <c r="E123" i="1"/>
  <c r="E124" i="1" s="1"/>
  <c r="E126" i="1" s="1"/>
  <c r="F123" i="1"/>
  <c r="G123" i="1"/>
  <c r="H123" i="1"/>
  <c r="I123" i="1"/>
  <c r="J123" i="1"/>
  <c r="C123" i="1"/>
  <c r="K76" i="1"/>
  <c r="L76" i="1"/>
  <c r="M76" i="1"/>
  <c r="N76" i="1"/>
  <c r="K77" i="1"/>
  <c r="L77" i="1"/>
  <c r="M77" i="1"/>
  <c r="N77" i="1"/>
  <c r="K78" i="1"/>
  <c r="L78" i="1"/>
  <c r="M78" i="1"/>
  <c r="N78" i="1"/>
  <c r="K79" i="1"/>
  <c r="L79" i="1"/>
  <c r="M79" i="1"/>
  <c r="N79" i="1"/>
  <c r="L75" i="1"/>
  <c r="M75" i="1"/>
  <c r="N75" i="1"/>
  <c r="K75" i="1"/>
  <c r="S52" i="9" l="1"/>
  <c r="S58" i="9"/>
  <c r="S57" i="9"/>
  <c r="S51" i="9"/>
  <c r="S55" i="9"/>
  <c r="S50" i="9"/>
  <c r="O58" i="9"/>
  <c r="S54" i="9"/>
  <c r="S53" i="9"/>
  <c r="O55" i="9"/>
  <c r="O52" i="9"/>
  <c r="O54" i="9"/>
  <c r="G51" i="9"/>
  <c r="G55" i="9"/>
  <c r="O51" i="9"/>
  <c r="G50" i="9"/>
  <c r="K54" i="9"/>
  <c r="K58" i="9"/>
  <c r="G52" i="9"/>
  <c r="G57" i="9"/>
  <c r="O53" i="9"/>
  <c r="O57" i="9"/>
  <c r="N12" i="9" s="1"/>
  <c r="O50" i="9"/>
  <c r="K53" i="9"/>
  <c r="G56" i="9"/>
  <c r="K50" i="9"/>
  <c r="O56" i="9"/>
  <c r="K56" i="9"/>
  <c r="K52" i="9"/>
  <c r="K55" i="9"/>
  <c r="K51" i="9"/>
  <c r="K57" i="9"/>
  <c r="N11" i="9" s="1"/>
  <c r="M11" i="9" s="1"/>
  <c r="G53" i="9"/>
  <c r="C50" i="9"/>
  <c r="C55" i="9"/>
  <c r="C56" i="9"/>
  <c r="O33" i="9"/>
  <c r="O31" i="9"/>
  <c r="S31" i="9"/>
  <c r="S30" i="9"/>
  <c r="O28" i="9"/>
  <c r="S28" i="9"/>
  <c r="O32" i="9"/>
  <c r="O29" i="9"/>
  <c r="O27" i="9"/>
  <c r="S34" i="9"/>
  <c r="O30" i="9"/>
  <c r="S29" i="9"/>
  <c r="S33" i="9"/>
  <c r="O34" i="9"/>
  <c r="S32" i="9"/>
  <c r="S27" i="9"/>
  <c r="K28" i="9"/>
  <c r="K34" i="9"/>
  <c r="K33" i="9"/>
  <c r="K27" i="9"/>
  <c r="K31" i="9"/>
  <c r="K32" i="9"/>
  <c r="K30" i="9"/>
  <c r="K29" i="9"/>
  <c r="G32" i="9"/>
  <c r="G34" i="9"/>
  <c r="G35" i="9"/>
  <c r="C27" i="9"/>
  <c r="C31" i="9"/>
  <c r="C32" i="9"/>
  <c r="C28" i="9"/>
  <c r="C29" i="9"/>
  <c r="G27" i="9"/>
  <c r="C30" i="9"/>
  <c r="C33" i="9"/>
  <c r="C57" i="9"/>
  <c r="C53" i="9"/>
  <c r="C54" i="9"/>
  <c r="C51" i="9"/>
  <c r="C52" i="9"/>
  <c r="G28" i="9"/>
  <c r="G29" i="9"/>
  <c r="G31" i="9"/>
  <c r="G30" i="9"/>
  <c r="G33" i="9"/>
  <c r="N160" i="1"/>
  <c r="N162" i="1" s="1"/>
  <c r="L160" i="1"/>
  <c r="L162" i="1" s="1"/>
  <c r="D135" i="1"/>
  <c r="D137" i="1" s="1"/>
  <c r="M160" i="1"/>
  <c r="M162" i="1" s="1"/>
  <c r="C170" i="1"/>
  <c r="C172" i="1" s="1"/>
  <c r="F170" i="1"/>
  <c r="F172" i="1" s="1"/>
  <c r="J160" i="1"/>
  <c r="J162" i="1" s="1"/>
  <c r="L170" i="1"/>
  <c r="L172" i="1" s="1"/>
  <c r="E160" i="1"/>
  <c r="E162" i="1" s="1"/>
  <c r="F160" i="1"/>
  <c r="F162" i="1" s="1"/>
  <c r="G160" i="1"/>
  <c r="G162" i="1" s="1"/>
  <c r="M170" i="1"/>
  <c r="M172" i="1" s="1"/>
  <c r="C160" i="1"/>
  <c r="C162" i="1" s="1"/>
  <c r="S160" i="1"/>
  <c r="S162" i="1" s="1"/>
  <c r="E170" i="1"/>
  <c r="E172" i="1" s="1"/>
  <c r="H135" i="1"/>
  <c r="H137" i="1" s="1"/>
  <c r="Q160" i="1"/>
  <c r="Q162" i="1" s="1"/>
  <c r="G170" i="1"/>
  <c r="G172" i="1" s="1"/>
  <c r="T160" i="1"/>
  <c r="T162" i="1" s="1"/>
  <c r="U160" i="1"/>
  <c r="U162" i="1" s="1"/>
  <c r="J170" i="1"/>
  <c r="J172" i="1" s="1"/>
  <c r="C135" i="1"/>
  <c r="C137" i="1" s="1"/>
  <c r="N170" i="1"/>
  <c r="N172" i="1" s="1"/>
  <c r="R160" i="1"/>
  <c r="R162" i="1" s="1"/>
  <c r="F135" i="1"/>
  <c r="F137" i="1" s="1"/>
  <c r="G135" i="1"/>
  <c r="G137" i="1" s="1"/>
  <c r="I135" i="1"/>
  <c r="I137" i="1" s="1"/>
  <c r="G146" i="1"/>
  <c r="G148" i="1" s="1"/>
  <c r="F146" i="1"/>
  <c r="F148" i="1" s="1"/>
  <c r="P124" i="1"/>
  <c r="P126" i="1" s="1"/>
  <c r="R124" i="1"/>
  <c r="R126" i="1" s="1"/>
  <c r="C146" i="1"/>
  <c r="M135" i="1"/>
  <c r="M137" i="1" s="1"/>
  <c r="N135" i="1"/>
  <c r="N137" i="1" s="1"/>
  <c r="P135" i="1"/>
  <c r="P137" i="1" s="1"/>
  <c r="Q135" i="1"/>
  <c r="Q137" i="1" s="1"/>
  <c r="R135" i="1"/>
  <c r="R137" i="1" s="1"/>
  <c r="S135" i="1"/>
  <c r="S137" i="1" s="1"/>
  <c r="T135" i="1"/>
  <c r="T137" i="1" s="1"/>
  <c r="J135" i="1"/>
  <c r="J137" i="1" s="1"/>
  <c r="M124" i="1"/>
  <c r="M126" i="1" s="1"/>
  <c r="D146" i="1"/>
  <c r="D148" i="1" s="1"/>
  <c r="I146" i="1"/>
  <c r="I148" i="1" s="1"/>
  <c r="J146" i="1"/>
  <c r="J148" i="1" s="1"/>
  <c r="H146" i="1"/>
  <c r="H148" i="1" s="1"/>
  <c r="N124" i="1"/>
  <c r="N126" i="1" s="1"/>
  <c r="I124" i="1"/>
  <c r="I126" i="1" s="1"/>
  <c r="G124" i="1"/>
  <c r="G126" i="1" s="1"/>
  <c r="H124" i="1"/>
  <c r="H126" i="1" s="1"/>
  <c r="F124" i="1"/>
  <c r="F126" i="1" s="1"/>
  <c r="D124" i="1"/>
  <c r="D126" i="1" s="1"/>
  <c r="J124" i="1"/>
  <c r="J126" i="1" s="1"/>
  <c r="C124" i="1"/>
  <c r="C126" i="1" s="1"/>
  <c r="Q124" i="1"/>
  <c r="Q126" i="1" s="1"/>
  <c r="S124" i="1"/>
  <c r="S126" i="1" s="1"/>
  <c r="T124" i="1"/>
  <c r="T126" i="1" s="1"/>
  <c r="M12" i="9" l="1"/>
  <c r="N10" i="9"/>
  <c r="M10" i="9" s="1"/>
  <c r="N9" i="9"/>
  <c r="M9" i="9" s="1"/>
  <c r="D59" i="6"/>
  <c r="D58" i="6"/>
  <c r="D60" i="6" s="1"/>
  <c r="D36" i="6"/>
  <c r="D34" i="6"/>
  <c r="D32" i="6"/>
  <c r="D37" i="6" s="1"/>
  <c r="H19" i="6"/>
  <c r="F19" i="6"/>
  <c r="D12" i="6"/>
  <c r="H9" i="6"/>
  <c r="F23" i="6" s="1"/>
  <c r="F32" i="7"/>
  <c r="E32" i="7"/>
  <c r="D32" i="7"/>
  <c r="C32" i="7"/>
  <c r="B32" i="7"/>
  <c r="F33" i="8"/>
  <c r="E33" i="8"/>
  <c r="D33" i="8"/>
  <c r="C33" i="8"/>
  <c r="B33" i="8"/>
  <c r="I16" i="6" l="1"/>
  <c r="H23" i="6"/>
  <c r="I20" i="6" s="1"/>
  <c r="D33" i="6"/>
  <c r="I15" i="8" a="1"/>
  <c r="I15" i="8" s="1"/>
  <c r="I10" i="8" a="1"/>
  <c r="I10" i="8" s="1"/>
  <c r="I5" i="8" a="1"/>
  <c r="I5" i="8" s="1"/>
  <c r="C32" i="8" l="1"/>
  <c r="D32" i="8" s="1"/>
  <c r="J4" i="7"/>
  <c r="J9" i="7" s="1"/>
  <c r="C10" i="7" l="1"/>
  <c r="D10" i="7"/>
  <c r="E10" i="7"/>
  <c r="F10" i="7"/>
  <c r="C11" i="7"/>
  <c r="D11" i="7"/>
  <c r="E11" i="7"/>
  <c r="F11" i="7"/>
  <c r="C12" i="7"/>
  <c r="D12" i="7"/>
  <c r="E12" i="7"/>
  <c r="F12" i="7"/>
  <c r="C13" i="7"/>
  <c r="D13" i="7"/>
  <c r="E13" i="7"/>
  <c r="F13" i="7"/>
  <c r="C14" i="7"/>
  <c r="D14" i="7"/>
  <c r="E14" i="7"/>
  <c r="F14" i="7"/>
  <c r="C15" i="7"/>
  <c r="D15" i="7"/>
  <c r="E15" i="7"/>
  <c r="F15" i="7"/>
  <c r="C16" i="7"/>
  <c r="D16" i="7"/>
  <c r="E16" i="7"/>
  <c r="F16" i="7"/>
  <c r="C17" i="7"/>
  <c r="D17" i="7"/>
  <c r="E17" i="7"/>
  <c r="F17" i="7"/>
  <c r="C18" i="7"/>
  <c r="D18" i="7"/>
  <c r="E18" i="7"/>
  <c r="F18" i="7"/>
  <c r="F26" i="7"/>
  <c r="E26" i="7"/>
  <c r="D26" i="7"/>
  <c r="B26" i="7"/>
  <c r="C26" i="7"/>
  <c r="N23" i="8" l="1"/>
  <c r="M23" i="8"/>
  <c r="L23" i="8"/>
  <c r="K23" i="8"/>
  <c r="J23" i="8"/>
  <c r="F25" i="8"/>
  <c r="F26" i="8" s="1"/>
  <c r="E25" i="8"/>
  <c r="E28" i="8" s="1"/>
  <c r="D25" i="8"/>
  <c r="D28" i="8" s="1"/>
  <c r="C25" i="8"/>
  <c r="C26" i="8" s="1"/>
  <c r="B25" i="8"/>
  <c r="B26" i="8" s="1"/>
  <c r="N9" i="8"/>
  <c r="F36" i="8" s="1"/>
  <c r="M9" i="8"/>
  <c r="E36" i="8" s="1"/>
  <c r="L9" i="8"/>
  <c r="K9" i="8"/>
  <c r="J9" i="8"/>
  <c r="F22" i="8"/>
  <c r="E22" i="8"/>
  <c r="D22" i="8"/>
  <c r="C22" i="8"/>
  <c r="F21" i="8"/>
  <c r="E21" i="8"/>
  <c r="D21" i="8"/>
  <c r="C21" i="8"/>
  <c r="F20" i="8"/>
  <c r="E20" i="8"/>
  <c r="D20" i="8"/>
  <c r="C20" i="8"/>
  <c r="N18" i="8"/>
  <c r="M18" i="8"/>
  <c r="L18" i="8"/>
  <c r="K18" i="8"/>
  <c r="J18" i="8"/>
  <c r="F18" i="8"/>
  <c r="E18" i="8"/>
  <c r="D18" i="8"/>
  <c r="C18" i="8"/>
  <c r="F17" i="8"/>
  <c r="E17" i="8"/>
  <c r="D17" i="8"/>
  <c r="C17" i="8"/>
  <c r="F16" i="8"/>
  <c r="E16" i="8"/>
  <c r="D16" i="8"/>
  <c r="C16" i="8"/>
  <c r="F15" i="8"/>
  <c r="E15" i="8"/>
  <c r="D15" i="8"/>
  <c r="C15" i="8"/>
  <c r="N14" i="8"/>
  <c r="M14" i="8"/>
  <c r="L14" i="8"/>
  <c r="K14" i="8"/>
  <c r="J14" i="8"/>
  <c r="F14" i="8"/>
  <c r="E14" i="8"/>
  <c r="D14" i="8"/>
  <c r="C14" i="8"/>
  <c r="F13" i="8"/>
  <c r="E13" i="8"/>
  <c r="D13" i="8"/>
  <c r="C13" i="8"/>
  <c r="F12" i="8"/>
  <c r="E12" i="8"/>
  <c r="D12" i="8"/>
  <c r="C12" i="8"/>
  <c r="F11" i="8"/>
  <c r="E11" i="8"/>
  <c r="D11" i="8"/>
  <c r="C11" i="8"/>
  <c r="F10" i="8"/>
  <c r="E10" i="8"/>
  <c r="D10" i="8"/>
  <c r="C10" i="8"/>
  <c r="F7" i="8"/>
  <c r="E7" i="8"/>
  <c r="D7" i="8"/>
  <c r="C7" i="8"/>
  <c r="F6" i="8"/>
  <c r="E6" i="8"/>
  <c r="D6" i="8"/>
  <c r="C6" i="8"/>
  <c r="J5" i="8"/>
  <c r="F5" i="8"/>
  <c r="E5" i="8"/>
  <c r="D5" i="8"/>
  <c r="C5" i="8"/>
  <c r="F4" i="8"/>
  <c r="E4" i="8"/>
  <c r="D4" i="8"/>
  <c r="C4" i="8"/>
  <c r="N3" i="8"/>
  <c r="M3" i="8"/>
  <c r="L3" i="8"/>
  <c r="K3" i="8"/>
  <c r="J3" i="8"/>
  <c r="A2" i="8"/>
  <c r="A40" i="7"/>
  <c r="F31" i="7"/>
  <c r="N4" i="7" s="1"/>
  <c r="E31" i="7"/>
  <c r="M4" i="7" s="1"/>
  <c r="D31" i="7"/>
  <c r="L4" i="7" s="1"/>
  <c r="C31" i="7"/>
  <c r="K4" i="7" s="1"/>
  <c r="F27" i="7"/>
  <c r="E27" i="7"/>
  <c r="D27" i="7"/>
  <c r="C27" i="7"/>
  <c r="B27" i="7"/>
  <c r="F22" i="7"/>
  <c r="E22" i="7"/>
  <c r="D22" i="7"/>
  <c r="C22" i="7"/>
  <c r="N17" i="7"/>
  <c r="M17" i="7"/>
  <c r="L17" i="7"/>
  <c r="K17" i="7"/>
  <c r="J17" i="7"/>
  <c r="F21" i="7"/>
  <c r="E21" i="7"/>
  <c r="D21" i="7"/>
  <c r="C21" i="7"/>
  <c r="F20" i="7"/>
  <c r="E20" i="7"/>
  <c r="D20" i="7"/>
  <c r="C20" i="7"/>
  <c r="N8" i="7"/>
  <c r="M8" i="7"/>
  <c r="L8" i="7"/>
  <c r="K8" i="7"/>
  <c r="J8" i="7"/>
  <c r="N13" i="7"/>
  <c r="M13" i="7"/>
  <c r="L13" i="7"/>
  <c r="K13" i="7"/>
  <c r="J13" i="7"/>
  <c r="F7" i="7"/>
  <c r="E7" i="7"/>
  <c r="D7" i="7"/>
  <c r="C7" i="7"/>
  <c r="F6" i="7"/>
  <c r="E6" i="7"/>
  <c r="D6" i="7"/>
  <c r="C6" i="7"/>
  <c r="F5" i="7"/>
  <c r="E5" i="7"/>
  <c r="D5" i="7"/>
  <c r="C5" i="7"/>
  <c r="F4" i="7"/>
  <c r="E4" i="7"/>
  <c r="D4" i="7"/>
  <c r="C4" i="7"/>
  <c r="A2" i="7"/>
  <c r="D36" i="8" l="1"/>
  <c r="C36" i="8"/>
  <c r="F28" i="8"/>
  <c r="B33" i="7"/>
  <c r="D33" i="7"/>
  <c r="C33" i="7"/>
  <c r="E33" i="7"/>
  <c r="F33" i="7"/>
  <c r="B36" i="8"/>
  <c r="B34" i="8"/>
  <c r="E34" i="8"/>
  <c r="C34" i="8"/>
  <c r="F34" i="8"/>
  <c r="D34" i="8"/>
  <c r="B34" i="7"/>
  <c r="K9" i="7"/>
  <c r="C34" i="7" s="1"/>
  <c r="L9" i="7"/>
  <c r="D34" i="7" s="1"/>
  <c r="M9" i="7"/>
  <c r="E34" i="7" s="1"/>
  <c r="N9" i="7"/>
  <c r="F34" i="7" s="1"/>
  <c r="E26" i="8"/>
  <c r="M4" i="8" s="1"/>
  <c r="C28" i="8"/>
  <c r="K5" i="8"/>
  <c r="D26" i="8"/>
  <c r="L19" i="8" s="1"/>
  <c r="B28" i="8"/>
  <c r="K19" i="8"/>
  <c r="K4" i="8"/>
  <c r="N4" i="8"/>
  <c r="N19" i="8"/>
  <c r="J19" i="8"/>
  <c r="J4" i="8"/>
  <c r="J10" i="8"/>
  <c r="B35" i="8" s="1"/>
  <c r="L5" i="8" l="1"/>
  <c r="E32" i="8"/>
  <c r="M19" i="8"/>
  <c r="K10" i="8"/>
  <c r="C35" i="8" s="1"/>
  <c r="B38" i="7"/>
  <c r="B39" i="7" s="1"/>
  <c r="B41" i="7" s="1"/>
  <c r="B43" i="7"/>
  <c r="B44" i="7" s="1"/>
  <c r="B45" i="7" s="1"/>
  <c r="L4" i="8"/>
  <c r="E43" i="7"/>
  <c r="E44" i="7" s="1"/>
  <c r="E45" i="7" s="1"/>
  <c r="D43" i="7"/>
  <c r="D44" i="7" s="1"/>
  <c r="D45" i="7" s="1"/>
  <c r="C43" i="7"/>
  <c r="C44" i="7" s="1"/>
  <c r="C45" i="7" s="1"/>
  <c r="F38" i="7"/>
  <c r="F39" i="7" s="1"/>
  <c r="F41" i="7" s="1"/>
  <c r="F43" i="7"/>
  <c r="F44" i="7" s="1"/>
  <c r="F45" i="7" s="1"/>
  <c r="C38" i="7"/>
  <c r="C39" i="7" s="1"/>
  <c r="C41" i="7" s="1"/>
  <c r="B45" i="8"/>
  <c r="B46" i="8" s="1"/>
  <c r="B47" i="8" s="1"/>
  <c r="B40" i="8"/>
  <c r="B41" i="8" s="1"/>
  <c r="B43" i="8" s="1"/>
  <c r="F32" i="8"/>
  <c r="M5" i="8"/>
  <c r="E38" i="7"/>
  <c r="E39" i="7" s="1"/>
  <c r="E41" i="7" s="1"/>
  <c r="D38" i="7"/>
  <c r="D39" i="7" s="1"/>
  <c r="D41" i="7" s="1"/>
  <c r="L10" i="8" l="1"/>
  <c r="D35" i="8" s="1"/>
  <c r="C40" i="8"/>
  <c r="C41" i="8" s="1"/>
  <c r="C43" i="8" s="1"/>
  <c r="C45" i="8"/>
  <c r="C46" i="8" s="1"/>
  <c r="C47" i="8" s="1"/>
  <c r="M10" i="8"/>
  <c r="E35" i="8" s="1"/>
  <c r="N5" i="8"/>
  <c r="D40" i="8" l="1"/>
  <c r="D41" i="8" s="1"/>
  <c r="D43" i="8" s="1"/>
  <c r="D45" i="8"/>
  <c r="D46" i="8" s="1"/>
  <c r="D47" i="8" s="1"/>
  <c r="E45" i="8"/>
  <c r="E46" i="8" s="1"/>
  <c r="E47" i="8" s="1"/>
  <c r="E40" i="8"/>
  <c r="E41" i="8" s="1"/>
  <c r="E43" i="8" s="1"/>
  <c r="N10" i="8"/>
  <c r="F35" i="8" s="1"/>
  <c r="F45" i="8" l="1"/>
  <c r="F46" i="8" s="1"/>
  <c r="F47" i="8" s="1"/>
  <c r="F40" i="8"/>
  <c r="F41" i="8" s="1"/>
  <c r="F43" i="8" s="1"/>
  <c r="Y21" i="3"/>
  <c r="V21" i="3"/>
  <c r="Q21" i="3"/>
  <c r="N21" i="3"/>
  <c r="I21" i="3"/>
  <c r="F21" i="3"/>
  <c r="Y20" i="3"/>
  <c r="V20" i="3"/>
  <c r="Q20" i="3"/>
  <c r="N20" i="3"/>
  <c r="I20" i="3"/>
  <c r="F20" i="3"/>
  <c r="Y19" i="3"/>
  <c r="V19" i="3"/>
  <c r="Q19" i="3"/>
  <c r="N19" i="3"/>
  <c r="I19" i="3"/>
  <c r="F19" i="3"/>
  <c r="Y18" i="3"/>
  <c r="V18" i="3"/>
  <c r="Q18" i="3"/>
  <c r="N18" i="3"/>
  <c r="I18" i="3"/>
  <c r="F18" i="3"/>
  <c r="Y17" i="3"/>
  <c r="V17" i="3"/>
  <c r="Q17" i="3"/>
  <c r="N17" i="3"/>
  <c r="I17" i="3"/>
  <c r="F17" i="3"/>
  <c r="Y16" i="3"/>
  <c r="V16" i="3"/>
  <c r="Q16" i="3"/>
  <c r="N16" i="3"/>
  <c r="I16" i="3"/>
  <c r="F16" i="3"/>
  <c r="Y15" i="3"/>
  <c r="V15" i="3"/>
  <c r="Q15" i="3"/>
  <c r="N15" i="3"/>
  <c r="I15" i="3"/>
  <c r="F15" i="3"/>
  <c r="P62" i="1" l="1"/>
  <c r="O62" i="1"/>
  <c r="N62" i="1"/>
  <c r="M62" i="1"/>
  <c r="P61" i="1"/>
  <c r="O61" i="1"/>
  <c r="N61" i="1"/>
  <c r="M61" i="1"/>
  <c r="P60" i="1"/>
  <c r="O60" i="1"/>
  <c r="N60" i="1"/>
  <c r="M60" i="1"/>
  <c r="P59" i="1"/>
  <c r="O59" i="1"/>
  <c r="N59" i="1"/>
  <c r="M59" i="1"/>
  <c r="P58" i="1"/>
  <c r="O58" i="1"/>
  <c r="N58" i="1"/>
  <c r="M58" i="1"/>
  <c r="P57" i="1"/>
  <c r="O57" i="1"/>
  <c r="N57" i="1"/>
  <c r="M57" i="1"/>
  <c r="P56" i="1"/>
  <c r="O56" i="1"/>
  <c r="N56" i="1"/>
  <c r="M56" i="1"/>
  <c r="P55" i="1"/>
  <c r="O55" i="1"/>
  <c r="N55" i="1"/>
  <c r="M55" i="1"/>
  <c r="P54" i="1"/>
  <c r="O54" i="1"/>
  <c r="N54" i="1"/>
  <c r="M54" i="1"/>
  <c r="P53" i="1"/>
  <c r="O53" i="1"/>
  <c r="N53" i="1"/>
  <c r="M53" i="1"/>
  <c r="P52" i="1"/>
  <c r="O52" i="1"/>
  <c r="N52" i="1"/>
  <c r="M52" i="1"/>
  <c r="P51" i="1"/>
  <c r="O51" i="1"/>
  <c r="N51" i="1"/>
  <c r="M51" i="1"/>
  <c r="P50" i="1"/>
  <c r="O50" i="1"/>
  <c r="N50" i="1"/>
  <c r="M50" i="1"/>
  <c r="P49" i="1"/>
  <c r="O49" i="1"/>
  <c r="N49" i="1"/>
  <c r="M49" i="1"/>
  <c r="P48" i="1"/>
  <c r="O48" i="1"/>
  <c r="N48" i="1"/>
  <c r="M48" i="1"/>
  <c r="P47" i="1"/>
  <c r="O47" i="1"/>
  <c r="N47" i="1"/>
  <c r="M47" i="1"/>
  <c r="P46" i="1"/>
  <c r="O46" i="1"/>
  <c r="N46" i="1"/>
  <c r="M46" i="1"/>
  <c r="P45" i="1"/>
  <c r="O45" i="1"/>
  <c r="N45" i="1"/>
  <c r="M45" i="1"/>
  <c r="P44" i="1"/>
  <c r="O44" i="1"/>
  <c r="N44" i="1"/>
  <c r="M44" i="1"/>
  <c r="P43" i="1"/>
  <c r="O43" i="1"/>
  <c r="N43" i="1"/>
  <c r="M43" i="1"/>
  <c r="P42" i="1"/>
  <c r="O42" i="1"/>
  <c r="N42" i="1"/>
  <c r="M42" i="1"/>
  <c r="P41" i="1"/>
  <c r="O41" i="1"/>
  <c r="N41" i="1"/>
  <c r="M41" i="1"/>
  <c r="P40" i="1"/>
  <c r="O40" i="1"/>
  <c r="N40" i="1"/>
  <c r="M40" i="1"/>
  <c r="P39" i="1"/>
  <c r="O39" i="1"/>
  <c r="N39" i="1"/>
  <c r="M39" i="1"/>
  <c r="P38" i="1"/>
  <c r="O38" i="1"/>
  <c r="N38" i="1"/>
  <c r="M38" i="1"/>
  <c r="P37" i="1"/>
  <c r="O37" i="1"/>
  <c r="N37" i="1"/>
  <c r="M37" i="1"/>
  <c r="P36" i="1"/>
  <c r="O36" i="1"/>
  <c r="N36" i="1"/>
  <c r="M36" i="1"/>
  <c r="P35" i="1"/>
  <c r="O35" i="1"/>
  <c r="N35" i="1"/>
  <c r="M35" i="1"/>
  <c r="P34" i="1"/>
  <c r="O34" i="1"/>
  <c r="N34" i="1"/>
  <c r="M34" i="1"/>
  <c r="P33" i="1"/>
  <c r="O33" i="1"/>
  <c r="N33" i="1"/>
  <c r="M33" i="1"/>
  <c r="P32" i="1"/>
  <c r="O32" i="1"/>
  <c r="N32" i="1"/>
  <c r="M32" i="1"/>
  <c r="P31" i="1"/>
  <c r="O31" i="1"/>
  <c r="N31" i="1"/>
  <c r="M31" i="1"/>
  <c r="P30" i="1"/>
  <c r="O30" i="1"/>
  <c r="N30" i="1"/>
  <c r="M30" i="1"/>
  <c r="P29" i="1"/>
  <c r="O29" i="1"/>
  <c r="N29" i="1"/>
  <c r="M29" i="1"/>
  <c r="P28" i="1"/>
  <c r="O28" i="1"/>
  <c r="N28" i="1"/>
  <c r="M28" i="1"/>
  <c r="P27" i="1"/>
  <c r="O27" i="1"/>
  <c r="N27" i="1"/>
  <c r="M27" i="1"/>
  <c r="P26" i="1"/>
  <c r="O26" i="1"/>
  <c r="N26" i="1"/>
  <c r="M26" i="1"/>
  <c r="P25" i="1"/>
  <c r="O25" i="1"/>
  <c r="N25" i="1"/>
  <c r="M25" i="1"/>
  <c r="P24" i="1"/>
  <c r="O24" i="1"/>
  <c r="N24" i="1"/>
  <c r="M24" i="1"/>
  <c r="P23" i="1"/>
  <c r="O23" i="1"/>
  <c r="N23" i="1"/>
  <c r="M23" i="1"/>
  <c r="P22" i="1"/>
  <c r="O22" i="1"/>
  <c r="N22" i="1"/>
  <c r="M22" i="1"/>
  <c r="P21" i="1"/>
  <c r="O21" i="1"/>
  <c r="N21" i="1"/>
  <c r="M21" i="1"/>
  <c r="P20" i="1"/>
  <c r="O20" i="1"/>
  <c r="N20" i="1"/>
  <c r="M20" i="1"/>
  <c r="P19" i="1"/>
  <c r="O19" i="1"/>
  <c r="N19" i="1"/>
  <c r="M19" i="1"/>
  <c r="P18" i="1"/>
  <c r="O18" i="1"/>
  <c r="N18" i="1"/>
  <c r="M18" i="1"/>
  <c r="U255" i="1" l="1"/>
  <c r="V255" i="1"/>
  <c r="W255" i="1"/>
  <c r="X255" i="1"/>
  <c r="T255" i="1"/>
  <c r="U250" i="1"/>
  <c r="V250" i="1"/>
  <c r="W250" i="1"/>
  <c r="X250" i="1"/>
  <c r="T250" i="1"/>
  <c r="U245" i="1"/>
  <c r="V245" i="1"/>
  <c r="W245" i="1"/>
  <c r="X245" i="1"/>
  <c r="T245" i="1"/>
  <c r="M250" i="1"/>
  <c r="N250" i="1"/>
  <c r="O250" i="1"/>
  <c r="P250" i="1"/>
  <c r="L250" i="1"/>
  <c r="M240" i="1"/>
  <c r="N240" i="1"/>
  <c r="O240" i="1"/>
  <c r="P240" i="1"/>
  <c r="L240" i="1"/>
  <c r="AB250" i="1" l="1"/>
  <c r="AB240" i="1"/>
  <c r="AC250" i="1"/>
  <c r="AC240" i="1"/>
  <c r="P255" i="1"/>
  <c r="O255" i="1"/>
  <c r="N255" i="1"/>
  <c r="M255" i="1"/>
  <c r="L255" i="1"/>
  <c r="P245" i="1"/>
  <c r="O245" i="1"/>
  <c r="N245" i="1"/>
  <c r="M245" i="1"/>
  <c r="L245" i="1"/>
  <c r="AD250" i="1" l="1"/>
  <c r="AE250" i="1"/>
  <c r="AC255" i="1"/>
  <c r="AE255" i="1" s="1"/>
  <c r="AB245" i="1"/>
  <c r="AD245" i="1" s="1"/>
  <c r="AC245" i="1"/>
  <c r="AE245" i="1" s="1"/>
  <c r="AB255" i="1"/>
  <c r="AD255" i="1" s="1"/>
  <c r="F209" i="1"/>
  <c r="J204" i="1"/>
  <c r="J205" i="1"/>
  <c r="J206" i="1"/>
  <c r="J207" i="1"/>
  <c r="J208" i="1"/>
  <c r="J209" i="1"/>
  <c r="J210" i="1"/>
  <c r="J211" i="1"/>
  <c r="J212" i="1"/>
  <c r="J203" i="1"/>
  <c r="L200" i="1"/>
  <c r="L201" i="1"/>
  <c r="L202" i="1"/>
  <c r="L203" i="1"/>
  <c r="L204" i="1"/>
  <c r="L205" i="1"/>
  <c r="P180" i="1"/>
  <c r="P181" i="1"/>
  <c r="P183" i="1"/>
  <c r="P182" i="1"/>
  <c r="Q98" i="1"/>
  <c r="N98" i="1"/>
  <c r="Q182" i="1" l="1"/>
  <c r="Q179" i="1"/>
  <c r="Q180" i="1"/>
  <c r="Q181" i="1"/>
  <c r="Q183" i="1"/>
  <c r="L212" i="1"/>
  <c r="L209" i="1"/>
  <c r="L207" i="1"/>
  <c r="L206" i="1"/>
  <c r="F29" i="4" l="1"/>
  <c r="F28" i="4"/>
  <c r="F27" i="4"/>
  <c r="G27" i="4" l="1"/>
  <c r="F34" i="4" l="1"/>
  <c r="F33" i="4"/>
  <c r="F32" i="4"/>
  <c r="F24" i="4"/>
  <c r="F23" i="4"/>
  <c r="F22" i="4"/>
  <c r="F19" i="4"/>
  <c r="F18" i="4"/>
  <c r="F17" i="4"/>
  <c r="F13" i="4"/>
  <c r="F14" i="4"/>
  <c r="F12" i="4"/>
  <c r="G12" i="4" l="1"/>
  <c r="G32" i="4"/>
  <c r="G22" i="4"/>
  <c r="G17" i="4"/>
  <c r="Q108" i="1"/>
  <c r="N108" i="1"/>
  <c r="K108" i="1"/>
  <c r="H108" i="1"/>
  <c r="E108" i="1"/>
  <c r="K98" i="1" l="1"/>
  <c r="H98" i="1"/>
  <c r="E98" i="1"/>
  <c r="C148" i="1" l="1"/>
  <c r="T278" i="1" l="1"/>
  <c r="U278" i="1"/>
  <c r="V278" i="1"/>
  <c r="W278" i="1"/>
  <c r="X278" i="1"/>
  <c r="T279" i="1"/>
  <c r="U279" i="1"/>
  <c r="V279" i="1"/>
  <c r="W279" i="1"/>
  <c r="X279" i="1"/>
  <c r="T280" i="1"/>
  <c r="U280" i="1"/>
  <c r="V280" i="1"/>
  <c r="W280" i="1"/>
  <c r="X280" i="1"/>
  <c r="T281" i="1"/>
  <c r="U281" i="1"/>
  <c r="V281" i="1"/>
  <c r="W281" i="1"/>
  <c r="X281" i="1"/>
  <c r="U277" i="1"/>
  <c r="V277" i="1"/>
  <c r="W277" i="1"/>
  <c r="X277" i="1"/>
  <c r="T277" i="1"/>
  <c r="T273" i="1"/>
  <c r="U273" i="1"/>
  <c r="V273" i="1"/>
  <c r="W273" i="1"/>
  <c r="X273" i="1"/>
  <c r="T274" i="1"/>
  <c r="U274" i="1"/>
  <c r="V274" i="1"/>
  <c r="W274" i="1"/>
  <c r="X274" i="1"/>
  <c r="T275" i="1"/>
  <c r="U275" i="1"/>
  <c r="V275" i="1"/>
  <c r="W275" i="1"/>
  <c r="X275" i="1"/>
  <c r="T276" i="1"/>
  <c r="U276" i="1"/>
  <c r="V276" i="1"/>
  <c r="W276" i="1"/>
  <c r="X276" i="1"/>
  <c r="U272" i="1"/>
  <c r="V272" i="1"/>
  <c r="W272" i="1"/>
  <c r="X272" i="1"/>
  <c r="T272" i="1"/>
  <c r="T268" i="1"/>
  <c r="U268" i="1"/>
  <c r="V268" i="1"/>
  <c r="W268" i="1"/>
  <c r="X268" i="1"/>
  <c r="T269" i="1"/>
  <c r="U269" i="1"/>
  <c r="V269" i="1"/>
  <c r="W269" i="1"/>
  <c r="X269" i="1"/>
  <c r="T270" i="1"/>
  <c r="U270" i="1"/>
  <c r="V270" i="1"/>
  <c r="W270" i="1"/>
  <c r="X270" i="1"/>
  <c r="T271" i="1"/>
  <c r="U271" i="1"/>
  <c r="V271" i="1"/>
  <c r="W271" i="1"/>
  <c r="X271" i="1"/>
  <c r="U267" i="1"/>
  <c r="V267" i="1"/>
  <c r="W267" i="1"/>
  <c r="X267" i="1"/>
  <c r="T267" i="1"/>
  <c r="T253" i="1"/>
  <c r="U253" i="1"/>
  <c r="V253" i="1"/>
  <c r="W253" i="1"/>
  <c r="X253" i="1"/>
  <c r="T254" i="1"/>
  <c r="U254" i="1"/>
  <c r="V254" i="1"/>
  <c r="W254" i="1"/>
  <c r="X254" i="1"/>
  <c r="T256" i="1"/>
  <c r="U256" i="1"/>
  <c r="V256" i="1"/>
  <c r="W256" i="1"/>
  <c r="X256" i="1"/>
  <c r="U252" i="1"/>
  <c r="V252" i="1"/>
  <c r="W252" i="1"/>
  <c r="X252" i="1"/>
  <c r="T252" i="1"/>
  <c r="T248" i="1"/>
  <c r="U248" i="1"/>
  <c r="V248" i="1"/>
  <c r="W248" i="1"/>
  <c r="X248" i="1"/>
  <c r="T249" i="1"/>
  <c r="U249" i="1"/>
  <c r="V249" i="1"/>
  <c r="W249" i="1"/>
  <c r="X249" i="1"/>
  <c r="T251" i="1"/>
  <c r="U251" i="1"/>
  <c r="V251" i="1"/>
  <c r="W251" i="1"/>
  <c r="X251" i="1"/>
  <c r="U247" i="1"/>
  <c r="V247" i="1"/>
  <c r="W247" i="1"/>
  <c r="X247" i="1"/>
  <c r="T247" i="1"/>
  <c r="T242" i="1" l="1"/>
  <c r="T243" i="1"/>
  <c r="T244" i="1"/>
  <c r="T246" i="1"/>
  <c r="U242" i="1"/>
  <c r="V242" i="1"/>
  <c r="W242" i="1"/>
  <c r="X24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62" i="1"/>
  <c r="N263" i="1"/>
  <c r="N264" i="1"/>
  <c r="N265" i="1"/>
  <c r="N266" i="1"/>
  <c r="N267" i="1"/>
  <c r="N268" i="1"/>
  <c r="AC268" i="1" s="1"/>
  <c r="N269" i="1"/>
  <c r="AC269" i="1" s="1"/>
  <c r="N270" i="1"/>
  <c r="AC270" i="1" s="1"/>
  <c r="N271" i="1"/>
  <c r="N272" i="1"/>
  <c r="AC272" i="1" s="1"/>
  <c r="N273" i="1"/>
  <c r="AC273" i="1" s="1"/>
  <c r="N274" i="1"/>
  <c r="N275" i="1"/>
  <c r="N276" i="1"/>
  <c r="N277" i="1"/>
  <c r="N278" i="1"/>
  <c r="N279" i="1"/>
  <c r="AC279" i="1" s="1"/>
  <c r="N280" i="1"/>
  <c r="AC280" i="1" s="1"/>
  <c r="N281" i="1"/>
  <c r="AC281" i="1" s="1"/>
  <c r="N262" i="1"/>
  <c r="AC262" i="1" s="1"/>
  <c r="M263" i="1"/>
  <c r="M264" i="1"/>
  <c r="M265" i="1"/>
  <c r="M266" i="1"/>
  <c r="M267" i="1"/>
  <c r="M268" i="1"/>
  <c r="M269" i="1"/>
  <c r="M270" i="1"/>
  <c r="M271" i="1"/>
  <c r="AB271" i="1" s="1"/>
  <c r="M272" i="1"/>
  <c r="M273" i="1"/>
  <c r="M274" i="1"/>
  <c r="M275" i="1"/>
  <c r="M276" i="1"/>
  <c r="M277" i="1"/>
  <c r="M278" i="1"/>
  <c r="M279" i="1"/>
  <c r="M280" i="1"/>
  <c r="M281" i="1"/>
  <c r="M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62" i="1"/>
  <c r="U243" i="1"/>
  <c r="V243" i="1"/>
  <c r="W243" i="1"/>
  <c r="X243" i="1"/>
  <c r="U244" i="1"/>
  <c r="V244" i="1"/>
  <c r="W244" i="1"/>
  <c r="X244" i="1"/>
  <c r="U246" i="1"/>
  <c r="V246" i="1"/>
  <c r="W246" i="1"/>
  <c r="X246" i="1"/>
  <c r="P238" i="1"/>
  <c r="P239" i="1"/>
  <c r="P241" i="1"/>
  <c r="P242" i="1"/>
  <c r="P243" i="1"/>
  <c r="P244" i="1"/>
  <c r="P246" i="1"/>
  <c r="P247" i="1"/>
  <c r="P248" i="1"/>
  <c r="P249" i="1"/>
  <c r="P251" i="1"/>
  <c r="P252" i="1"/>
  <c r="P253" i="1"/>
  <c r="P254" i="1"/>
  <c r="P256" i="1"/>
  <c r="P237" i="1"/>
  <c r="O238" i="1"/>
  <c r="O239" i="1"/>
  <c r="O241" i="1"/>
  <c r="O242" i="1"/>
  <c r="O243" i="1"/>
  <c r="O244" i="1"/>
  <c r="O246" i="1"/>
  <c r="O247" i="1"/>
  <c r="O248" i="1"/>
  <c r="O249" i="1"/>
  <c r="O251" i="1"/>
  <c r="O252" i="1"/>
  <c r="O253" i="1"/>
  <c r="O254" i="1"/>
  <c r="O256" i="1"/>
  <c r="O237" i="1"/>
  <c r="N238" i="1"/>
  <c r="AC238" i="1" s="1"/>
  <c r="N239" i="1"/>
  <c r="AC239" i="1" s="1"/>
  <c r="N241" i="1"/>
  <c r="N242" i="1"/>
  <c r="AC242" i="1" s="1"/>
  <c r="N243" i="1"/>
  <c r="N244" i="1"/>
  <c r="N246" i="1"/>
  <c r="N247" i="1"/>
  <c r="N248" i="1"/>
  <c r="N249" i="1"/>
  <c r="N251" i="1"/>
  <c r="N252" i="1"/>
  <c r="N253" i="1"/>
  <c r="AC253" i="1" s="1"/>
  <c r="N254" i="1"/>
  <c r="AC254" i="1" s="1"/>
  <c r="N256" i="1"/>
  <c r="N237" i="1"/>
  <c r="AC237" i="1" s="1"/>
  <c r="M238" i="1"/>
  <c r="M239" i="1"/>
  <c r="M241" i="1"/>
  <c r="M242" i="1"/>
  <c r="M243" i="1"/>
  <c r="M244" i="1"/>
  <c r="M246" i="1"/>
  <c r="M247" i="1"/>
  <c r="M248" i="1"/>
  <c r="AB248" i="1" s="1"/>
  <c r="M249" i="1"/>
  <c r="M251" i="1"/>
  <c r="M252" i="1"/>
  <c r="M253" i="1"/>
  <c r="M254" i="1"/>
  <c r="M256" i="1"/>
  <c r="M237" i="1"/>
  <c r="L238" i="1"/>
  <c r="L239" i="1"/>
  <c r="L241" i="1"/>
  <c r="L242" i="1"/>
  <c r="L243" i="1"/>
  <c r="L244" i="1"/>
  <c r="L246" i="1"/>
  <c r="L247" i="1"/>
  <c r="L248" i="1"/>
  <c r="L249" i="1"/>
  <c r="L251" i="1"/>
  <c r="L252" i="1"/>
  <c r="L253" i="1"/>
  <c r="L254" i="1"/>
  <c r="L256" i="1"/>
  <c r="L237" i="1"/>
  <c r="AB275" i="1" l="1"/>
  <c r="AB263" i="1"/>
  <c r="AC271" i="1"/>
  <c r="AB247" i="1"/>
  <c r="AC252" i="1"/>
  <c r="AE252" i="1" s="1"/>
  <c r="AC248" i="1"/>
  <c r="AE248" i="1" s="1"/>
  <c r="AB237" i="1"/>
  <c r="AD247" i="1" s="1"/>
  <c r="AB242" i="1"/>
  <c r="AC247" i="1"/>
  <c r="AE247" i="1" s="1"/>
  <c r="AB262" i="1"/>
  <c r="AB270" i="1"/>
  <c r="AC278" i="1"/>
  <c r="AC266" i="1"/>
  <c r="AE281" i="1" s="1"/>
  <c r="AB256" i="1"/>
  <c r="AB241" i="1"/>
  <c r="AC246" i="1"/>
  <c r="AB281" i="1"/>
  <c r="AC264" i="1"/>
  <c r="AE269" i="1" s="1"/>
  <c r="AC251" i="1"/>
  <c r="AC249" i="1"/>
  <c r="AE249" i="1" s="1"/>
  <c r="AB243" i="1"/>
  <c r="AB239" i="1"/>
  <c r="AD254" i="1" s="1"/>
  <c r="AC276" i="1"/>
  <c r="AE276" i="1" s="1"/>
  <c r="AB253" i="1"/>
  <c r="AC243" i="1"/>
  <c r="AE243" i="1" s="1"/>
  <c r="AB267" i="1"/>
  <c r="AC263" i="1"/>
  <c r="AE268" i="1" s="1"/>
  <c r="AB254" i="1"/>
  <c r="AB252" i="1"/>
  <c r="AC277" i="1"/>
  <c r="AE277" i="1" s="1"/>
  <c r="AB277" i="1"/>
  <c r="AB280" i="1"/>
  <c r="AB265" i="1"/>
  <c r="AB264" i="1"/>
  <c r="AB246" i="1"/>
  <c r="AC244" i="1"/>
  <c r="AE244" i="1" s="1"/>
  <c r="AB244" i="1"/>
  <c r="AB268" i="1"/>
  <c r="AD268" i="1" s="1"/>
  <c r="AB269" i="1"/>
  <c r="AB249" i="1"/>
  <c r="AB251" i="1"/>
  <c r="AB238" i="1"/>
  <c r="AD248" i="1" s="1"/>
  <c r="AC241" i="1"/>
  <c r="AE246" i="1" s="1"/>
  <c r="AE254" i="1"/>
  <c r="AC274" i="1"/>
  <c r="AE274" i="1" s="1"/>
  <c r="AB274" i="1"/>
  <c r="AB276" i="1"/>
  <c r="AB273" i="1"/>
  <c r="AC275" i="1"/>
  <c r="AE253" i="1"/>
  <c r="AC267" i="1"/>
  <c r="AE267" i="1" s="1"/>
  <c r="AC265" i="1"/>
  <c r="AC256" i="1"/>
  <c r="AB272" i="1"/>
  <c r="AB266" i="1"/>
  <c r="AD271" i="1" s="1"/>
  <c r="AB278" i="1"/>
  <c r="AD278" i="1" s="1"/>
  <c r="AB279" i="1"/>
  <c r="AE272" i="1"/>
  <c r="AE242" i="1"/>
  <c r="AD251" i="1" l="1"/>
  <c r="AD267" i="1"/>
  <c r="AD273" i="1"/>
  <c r="AD244" i="1"/>
  <c r="AE279" i="1"/>
  <c r="AD256" i="1"/>
  <c r="AD242" i="1"/>
  <c r="AE278" i="1"/>
  <c r="AD246" i="1"/>
  <c r="AD270" i="1"/>
  <c r="AD249" i="1"/>
  <c r="AE271" i="1"/>
  <c r="AE273" i="1"/>
  <c r="AD275" i="1"/>
  <c r="AD272" i="1"/>
  <c r="AD277" i="1"/>
  <c r="AD252" i="1"/>
  <c r="AD269" i="1"/>
  <c r="AD280" i="1"/>
  <c r="AD279" i="1"/>
  <c r="AD274" i="1"/>
  <c r="AE256" i="1"/>
  <c r="AD243" i="1"/>
  <c r="AD253" i="1"/>
  <c r="AE251" i="1"/>
  <c r="AE275" i="1"/>
  <c r="AE270" i="1"/>
  <c r="AE280" i="1"/>
  <c r="AD276" i="1"/>
  <c r="AD281" i="1"/>
  <c r="G191" i="1" l="1"/>
  <c r="G192" i="1"/>
  <c r="G193" i="1"/>
  <c r="J191" i="1"/>
  <c r="J192" i="1"/>
  <c r="J193" i="1"/>
  <c r="D226" i="1"/>
  <c r="D227" i="1"/>
  <c r="D228" i="1"/>
  <c r="H226" i="1"/>
  <c r="H227" i="1"/>
  <c r="H228" i="1"/>
  <c r="J226" i="1"/>
  <c r="J227" i="1"/>
  <c r="J228" i="1"/>
  <c r="L226" i="1"/>
  <c r="L227" i="1"/>
  <c r="L228" i="1"/>
  <c r="P191" i="1"/>
  <c r="P192" i="1"/>
  <c r="P193" i="1"/>
  <c r="P190" i="1"/>
  <c r="M191" i="1"/>
  <c r="M192" i="1"/>
  <c r="M193" i="1"/>
  <c r="M190" i="1"/>
  <c r="Q191" i="1" l="1"/>
  <c r="L220" i="1"/>
  <c r="L221" i="1"/>
  <c r="L222" i="1"/>
  <c r="L223" i="1"/>
  <c r="L224" i="1"/>
  <c r="L225" i="1"/>
  <c r="L219" i="1"/>
  <c r="J220" i="1"/>
  <c r="J221" i="1"/>
  <c r="J222" i="1"/>
  <c r="J223" i="1"/>
  <c r="J224" i="1"/>
  <c r="J225" i="1"/>
  <c r="J219" i="1"/>
  <c r="H221" i="1"/>
  <c r="H222" i="1"/>
  <c r="H223" i="1"/>
  <c r="H224" i="1"/>
  <c r="H225" i="1"/>
  <c r="H219" i="1"/>
  <c r="D220" i="1"/>
  <c r="D221" i="1"/>
  <c r="D222" i="1"/>
  <c r="D223" i="1"/>
  <c r="D224" i="1"/>
  <c r="D225" i="1"/>
  <c r="D219" i="1"/>
  <c r="J201" i="1"/>
  <c r="J202" i="1"/>
  <c r="J200" i="1"/>
  <c r="H201" i="1"/>
  <c r="H202" i="1"/>
  <c r="H204" i="1"/>
  <c r="H206" i="1"/>
  <c r="H207" i="1"/>
  <c r="H209" i="1"/>
  <c r="H212" i="1"/>
  <c r="F212" i="1"/>
  <c r="D201" i="1"/>
  <c r="D202" i="1"/>
  <c r="D204" i="1"/>
  <c r="D205" i="1"/>
  <c r="D206" i="1"/>
  <c r="D207" i="1"/>
  <c r="D209" i="1"/>
  <c r="D212" i="1"/>
  <c r="Q192" i="1"/>
  <c r="Q193" i="1"/>
  <c r="Q190" i="1"/>
  <c r="N191" i="1"/>
  <c r="N192" i="1"/>
  <c r="N193" i="1"/>
  <c r="N190" i="1"/>
  <c r="K191" i="1"/>
  <c r="K192" i="1"/>
  <c r="K193" i="1"/>
  <c r="H191" i="1"/>
  <c r="H192" i="1"/>
  <c r="H193" i="1"/>
  <c r="J190" i="1"/>
  <c r="K190" i="1" s="1"/>
  <c r="G190" i="1"/>
  <c r="H190" i="1" s="1"/>
  <c r="D191" i="1"/>
  <c r="D192" i="1"/>
  <c r="E192" i="1" s="1"/>
  <c r="D193" i="1"/>
  <c r="D190" i="1"/>
  <c r="M180" i="1"/>
  <c r="M181" i="1"/>
  <c r="M182" i="1"/>
  <c r="N179" i="1" s="1"/>
  <c r="M183" i="1"/>
  <c r="J180" i="1"/>
  <c r="J181" i="1"/>
  <c r="J182" i="1"/>
  <c r="J183" i="1"/>
  <c r="G180" i="1"/>
  <c r="G181" i="1"/>
  <c r="H181" i="1" s="1"/>
  <c r="G182" i="1"/>
  <c r="H179" i="1" s="1"/>
  <c r="G183" i="1"/>
  <c r="D180" i="1"/>
  <c r="D182" i="1"/>
  <c r="E181" i="1" s="1"/>
  <c r="D183" i="1"/>
  <c r="K182" i="1" l="1"/>
  <c r="K179" i="1"/>
  <c r="E182" i="1"/>
  <c r="E179" i="1"/>
  <c r="H180" i="1"/>
  <c r="K180" i="1"/>
  <c r="K183" i="1"/>
  <c r="H183" i="1"/>
  <c r="K181" i="1"/>
  <c r="E180" i="1"/>
  <c r="E183" i="1"/>
  <c r="E191" i="1"/>
  <c r="E193" i="1"/>
  <c r="E190" i="1"/>
  <c r="N180" i="1"/>
  <c r="N183" i="1"/>
  <c r="H182" i="1"/>
  <c r="N181" i="1"/>
  <c r="N18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<sst xmlns="http://schemas.openxmlformats.org/spreadsheetml/2006/main" count="1179" uniqueCount="430">
  <si>
    <t>Dosimetry</t>
  </si>
  <si>
    <t>Mechanical</t>
  </si>
  <si>
    <t>2.1 Collimator rotation isocenter (TG142: 1mm from baseline)</t>
  </si>
  <si>
    <t>2.2 Gantry rotation isocenter (TG142: 1mm from baseline)</t>
  </si>
  <si>
    <r>
      <t>2.7 Table angle (TG142: 1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)</t>
    </r>
  </si>
  <si>
    <t>2.8 Table travel maximum range movement in all directions (TG142: 2mm)</t>
  </si>
  <si>
    <t>EDW</t>
  </si>
  <si>
    <r>
      <t>3.1 Check wedge angle for 60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, full field (TG142: 2%)</t>
    </r>
  </si>
  <si>
    <t>3.2 Spot check for intermediate angle, field size (TG142: 2%)</t>
  </si>
  <si>
    <t>MLC</t>
  </si>
  <si>
    <t>4.5 Dynamic deliviery (TG 142: See Below)</t>
  </si>
  <si>
    <t>&lt;0.35 cm max error RMS</t>
  </si>
  <si>
    <t>95% of error counts &lt;0.35 cm</t>
  </si>
  <si>
    <t>Imaging</t>
  </si>
  <si>
    <t>Planar MV Imaging</t>
  </si>
  <si>
    <t>5.1 Full range of travel SDD (TG142: 5mm)</t>
  </si>
  <si>
    <t>5.2 Imaging dose (TG142: Baseline)</t>
  </si>
  <si>
    <t>Planar kV imaging</t>
  </si>
  <si>
    <t>5.3 Beam quality/energy (TG142: Baseline)</t>
  </si>
  <si>
    <t>5.4 Imaging dose (TG142: Baseline)</t>
  </si>
  <si>
    <t>CBCT</t>
  </si>
  <si>
    <t>5.5 Imaging dose (TG142: Baseline)</t>
  </si>
  <si>
    <t>1.3 SRS arc rotation mode (TG142: See Below)</t>
  </si>
  <si>
    <t>Monitor Units Set vs Delivered: 1.0 MU or 2% (whichever is greater)</t>
  </si>
  <si>
    <t>Open</t>
  </si>
  <si>
    <t>Reading 1</t>
  </si>
  <si>
    <t>Reading 2</t>
  </si>
  <si>
    <t>Reading 3</t>
  </si>
  <si>
    <t>6 MV</t>
  </si>
  <si>
    <t>Average</t>
  </si>
  <si>
    <t>Leakage (%)</t>
  </si>
  <si>
    <t>6 FFF</t>
  </si>
  <si>
    <t>10 MV</t>
  </si>
  <si>
    <t>18 MV</t>
  </si>
  <si>
    <t>X1 Bank</t>
  </si>
  <si>
    <t>X2 Bank</t>
  </si>
  <si>
    <t>Orient Farmer Chamber perpendicular to MLC Leaves, such that interleaf/whole leaf transmission is averaged.</t>
  </si>
  <si>
    <t>MV Imaging Panel Position</t>
  </si>
  <si>
    <t>Measured Dimensions (cm)</t>
  </si>
  <si>
    <t>Field Size (cm)</t>
  </si>
  <si>
    <t>X=</t>
  </si>
  <si>
    <t>Y=</t>
  </si>
  <si>
    <t>Using Buildup Cap, mount Farmer Chamber at Iso (similar to Output v. Gantry)</t>
  </si>
  <si>
    <r>
      <t>10x10 cm</t>
    </r>
    <r>
      <rPr>
        <vertAlign val="superscript"/>
        <sz val="10"/>
        <color theme="1"/>
        <rFont val="Calibri"/>
        <family val="2"/>
        <scheme val="minor"/>
      </rPr>
      <t>2</t>
    </r>
  </si>
  <si>
    <t>100 SDD</t>
  </si>
  <si>
    <t>In Service mode, navigate to XVI tab, select: kV&gt;Acquisition&gt; ???</t>
  </si>
  <si>
    <t>In Service mode, navigate to XVI tab, select MV&gt;Acquisition&gt;High Quality Single</t>
  </si>
  <si>
    <t>In Service mode, navigate to PVA tab, select ???</t>
  </si>
  <si>
    <t>Functionality</t>
  </si>
  <si>
    <r>
      <t>E- Cone (cm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)</t>
    </r>
  </si>
  <si>
    <t>Functional</t>
  </si>
  <si>
    <t>Error</t>
  </si>
  <si>
    <t>In Machine QA/Service Mode, open Plans: C StarShot, G StarShot, and T StarShot</t>
  </si>
  <si>
    <t>100 SFD</t>
  </si>
  <si>
    <t>Adjust table longitudinal to max displacement, towards gantry.</t>
  </si>
  <si>
    <t>Record displacement as measured by ruler.</t>
  </si>
  <si>
    <t>Displacement on Ruler (cm)</t>
  </si>
  <si>
    <t>2.6 Table sag (TG142: 2mm from baseline)</t>
  </si>
  <si>
    <t>2.3 Table rotation isocenter (TG142: 1mm from baseline)</t>
  </si>
  <si>
    <t>2.4 Coincidence of radiation and mechanical isocenter (TG142: 1mm from baseline)</t>
  </si>
  <si>
    <t>Longitudinal</t>
  </si>
  <si>
    <t>Lateral</t>
  </si>
  <si>
    <t>Vertical</t>
  </si>
  <si>
    <t>2.5 Applicator interlocks (TG142: Functional)</t>
  </si>
  <si>
    <r>
      <t>SRS Cone (mm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)</t>
    </r>
  </si>
  <si>
    <t>MU</t>
  </si>
  <si>
    <t>Reading (nC)</t>
  </si>
  <si>
    <t>6 MeV @ 1.3cm</t>
  </si>
  <si>
    <t>9 MeV @ 2cm</t>
  </si>
  <si>
    <t>nC/MU</t>
  </si>
  <si>
    <t>% Diff from 100 MU</t>
  </si>
  <si>
    <t>% Diff from 600 MU/min</t>
  </si>
  <si>
    <t>MU/min</t>
  </si>
  <si>
    <t>100 MU</t>
  </si>
  <si>
    <t>10x10 cone</t>
  </si>
  <si>
    <t>600 MU/min</t>
  </si>
  <si>
    <t>10 cm depth</t>
  </si>
  <si>
    <t>10cm depth</t>
  </si>
  <si>
    <t>Orient Gafchromic film w/in Solid Water to capture StarShot exposures for respective plans.</t>
  </si>
  <si>
    <t>Using graph paper/IsoCal phantom/Varian Green Board, align with crosshairs</t>
  </si>
  <si>
    <t>at 100cm SSD, rotate couch to align given phantom w/ crosshairs at other angles.</t>
  </si>
  <si>
    <r>
      <t>Check T=0</t>
    </r>
    <r>
      <rPr>
        <vertAlign val="superscript"/>
        <sz val="10"/>
        <color theme="1"/>
        <rFont val="Calibri"/>
        <family val="2"/>
        <scheme val="minor"/>
      </rPr>
      <t>o</t>
    </r>
    <r>
      <rPr>
        <sz val="10"/>
        <color theme="1"/>
        <rFont val="Calibri"/>
        <family val="2"/>
        <scheme val="minor"/>
      </rPr>
      <t xml:space="preserve"> by manually realigning with crosshairs, also. Record DRO.</t>
    </r>
  </si>
  <si>
    <t>Baseline (cm)</t>
  </si>
  <si>
    <t>Log File Analysis saved to DoseLab Database</t>
  </si>
  <si>
    <t>Log File Analysis PDFs:</t>
  </si>
  <si>
    <t>Energy</t>
  </si>
  <si>
    <t>% Diff</t>
  </si>
  <si>
    <t>Gantry angle</t>
  </si>
  <si>
    <t>Center</t>
  </si>
  <si>
    <t>Top (1)</t>
  </si>
  <si>
    <t>Right (2)</t>
  </si>
  <si>
    <t>Bottom (3)</t>
  </si>
  <si>
    <t>Left (4)</t>
  </si>
  <si>
    <t>0 degrees</t>
  </si>
  <si>
    <t>6FFF</t>
  </si>
  <si>
    <t>10MV</t>
  </si>
  <si>
    <t>90 degrees</t>
  </si>
  <si>
    <t>180 degrees</t>
  </si>
  <si>
    <t>270 degrees</t>
  </si>
  <si>
    <t>% CHANGE FROM 0 DEGREES</t>
  </si>
  <si>
    <t>Top</t>
  </si>
  <si>
    <t>Right</t>
  </si>
  <si>
    <t>Bottom</t>
  </si>
  <si>
    <t>Left</t>
  </si>
  <si>
    <t xml:space="preserve">SYMMETRY </t>
  </si>
  <si>
    <t>Chamber 1/3</t>
  </si>
  <si>
    <t>Chamber 2/4</t>
  </si>
  <si>
    <t>6 MeV</t>
  </si>
  <si>
    <t>9 MeV</t>
  </si>
  <si>
    <t>12 MeV</t>
  </si>
  <si>
    <r>
      <t>QA3 mounted in IMF, 20x20cm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, 100 MU at gantry angles G=270, 0, 90, 180</t>
    </r>
  </si>
  <si>
    <t>Electrons</t>
  </si>
  <si>
    <t>Take images at the listed MVD positions and confirm measured field size agrees with set field size.</t>
  </si>
  <si>
    <r>
      <rPr>
        <b/>
        <sz val="10"/>
        <color theme="1"/>
        <rFont val="Calibri"/>
        <family val="2"/>
        <scheme val="minor"/>
      </rPr>
      <t xml:space="preserve">Technique: </t>
    </r>
    <r>
      <rPr>
        <sz val="10"/>
        <color theme="1"/>
        <rFont val="Calibri"/>
        <family val="2"/>
        <scheme val="minor"/>
      </rPr>
      <t>Highres</t>
    </r>
  </si>
  <si>
    <r>
      <t>Gantry Arc Set vs Delivered: 1.0</t>
    </r>
    <r>
      <rPr>
        <vertAlign val="superscript"/>
        <sz val="11"/>
        <color rgb="FFFF0000"/>
        <rFont val="Calibri"/>
        <family val="2"/>
        <scheme val="minor"/>
      </rPr>
      <t>o</t>
    </r>
    <r>
      <rPr>
        <sz val="11"/>
        <color rgb="FFFF0000"/>
        <rFont val="Calibri"/>
        <family val="2"/>
        <scheme val="minor"/>
      </rPr>
      <t xml:space="preserve"> or 2% (whichever is greater)</t>
    </r>
  </si>
  <si>
    <r>
      <t>Field Size &lt;4 x 4 cm</t>
    </r>
    <r>
      <rPr>
        <vertAlign val="superscript"/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: 2%; Field Size ≥4x4 cm2: 1%</t>
    </r>
  </si>
  <si>
    <t>6x6</t>
  </si>
  <si>
    <t>10x10</t>
  </si>
  <si>
    <t>15x15</t>
  </si>
  <si>
    <t>20x20</t>
  </si>
  <si>
    <t>25x25</t>
  </si>
  <si>
    <t>R2</t>
  </si>
  <si>
    <t>R3</t>
  </si>
  <si>
    <t>Readings (nC)</t>
  </si>
  <si>
    <t>Depth = 10cm</t>
  </si>
  <si>
    <t>SSD = 100cm</t>
  </si>
  <si>
    <t>Tape Ruler to device on couch, such that coronal laser interseects with it.</t>
  </si>
  <si>
    <t>Place at least 20cm of water equivalent at end of table (towards gantry).</t>
  </si>
  <si>
    <r>
      <t>Manual Rotation (</t>
    </r>
    <r>
      <rPr>
        <vertAlign val="superscript"/>
        <sz val="10"/>
        <color theme="1"/>
        <rFont val="Calibri"/>
        <family val="2"/>
        <scheme val="minor"/>
      </rPr>
      <t>o</t>
    </r>
    <r>
      <rPr>
        <sz val="10"/>
        <color theme="1"/>
        <rFont val="Calibri"/>
        <family val="2"/>
        <scheme val="minor"/>
      </rPr>
      <t>)</t>
    </r>
  </si>
  <si>
    <r>
      <t>DRO (</t>
    </r>
    <r>
      <rPr>
        <vertAlign val="superscript"/>
        <sz val="10"/>
        <color theme="1"/>
        <rFont val="Calibri"/>
        <family val="2"/>
        <scheme val="minor"/>
      </rPr>
      <t>o</t>
    </r>
    <r>
      <rPr>
        <sz val="10"/>
        <color theme="1"/>
        <rFont val="Calibri"/>
        <family val="2"/>
        <scheme val="minor"/>
      </rPr>
      <t>)</t>
    </r>
  </si>
  <si>
    <t xml:space="preserve">Min. </t>
  </si>
  <si>
    <t xml:space="preserve">Max. </t>
  </si>
  <si>
    <t>Set WL phantom up w/lasers, image to fine tune position, and deliver.</t>
  </si>
  <si>
    <t>Photons</t>
  </si>
  <si>
    <t>RATIO OF OUTER CHAMBER TO CENTRAL CHAMBER</t>
  </si>
  <si>
    <t>1.7 Spot check of field size dependent output factors for X-Ray (TG142: See Below)</t>
  </si>
  <si>
    <t>Eclipse</t>
  </si>
  <si>
    <t>Measured</t>
  </si>
  <si>
    <t>Measured data taken from TG51 analysis</t>
  </si>
  <si>
    <t>Diff (mm)</t>
  </si>
  <si>
    <t>In Service/Machine QA Mode, open Plan: MLC Trans&gt;Clear Couch Values, Manually retract leaves for Open fields</t>
  </si>
  <si>
    <t>Farmer Chamber, 100 SSD, 5cm Depth</t>
  </si>
  <si>
    <t>Starshot analysis/images:</t>
  </si>
  <si>
    <t xml:space="preserve">WL Analysis: </t>
  </si>
  <si>
    <r>
      <t>2.9 6DoF Couch Corrections (TG142: 1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)</t>
    </r>
  </si>
  <si>
    <t>Meas.</t>
  </si>
  <si>
    <t>Pitch</t>
  </si>
  <si>
    <t>Roll</t>
  </si>
  <si>
    <t>Baseline</t>
  </si>
  <si>
    <t>Min.</t>
  </si>
  <si>
    <t>Max.</t>
  </si>
  <si>
    <t>10FFF</t>
  </si>
  <si>
    <t>16 MeV</t>
  </si>
  <si>
    <t>20 MeV</t>
  </si>
  <si>
    <t>Eclipse provides baseline data. Patient: Annual, QA</t>
  </si>
  <si>
    <t>OF</t>
  </si>
  <si>
    <t>600 MU/min (Unless otherwise indicated)</t>
  </si>
  <si>
    <t>Beam Config. provides baseline data.</t>
  </si>
  <si>
    <t>d = 1.3 cm</t>
  </si>
  <si>
    <t>d = 2.8 cm</t>
  </si>
  <si>
    <t>d = 2.0 cm</t>
  </si>
  <si>
    <t>Spoke shot analysis/images:</t>
  </si>
  <si>
    <t>10 FFF</t>
  </si>
  <si>
    <t>2018 Meas. DLG</t>
  </si>
  <si>
    <t>Couch at Long. = 140, Lat. = 0, Vert. = 0</t>
  </si>
  <si>
    <t>50 MU</t>
  </si>
  <si>
    <t>% Diff from 1400 MU/min</t>
  </si>
  <si>
    <t>% Diff from 2400 MU/min</t>
  </si>
  <si>
    <t>12 MeV @ 2.8 cm</t>
  </si>
  <si>
    <t>16 MeV @ 2.8cm</t>
  </si>
  <si>
    <t>20 MeV @ 2 cm</t>
  </si>
  <si>
    <t>20 MeV @ 2cm</t>
  </si>
  <si>
    <r>
      <t>QA3 mounted in IMF, 20x20cm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 xml:space="preserve"> (No Cone), 100 MU, at gantry angles G=270, 0, 90, 180</t>
    </r>
  </si>
  <si>
    <t>In Service/Machine QA Mode, open RT Plan: MLC Repeatability</t>
  </si>
  <si>
    <t>Position film underneath buildup, deliver once. Change position of MLC's, then re deliver field to same film, without moving the film</t>
  </si>
  <si>
    <t>Film Scan:</t>
  </si>
  <si>
    <r>
      <t>4.1 MLC transmission, all energies (</t>
    </r>
    <r>
      <rPr>
        <sz val="11"/>
        <rFont val="Calibri"/>
        <family val="2"/>
        <scheme val="minor"/>
      </rPr>
      <t>TG142:</t>
    </r>
    <r>
      <rPr>
        <sz val="11"/>
        <color rgb="FFFF0000"/>
        <rFont val="Calibri"/>
        <family val="2"/>
        <scheme val="minor"/>
      </rPr>
      <t xml:space="preserve"> 0.5% from baseline</t>
    </r>
    <r>
      <rPr>
        <sz val="11"/>
        <color theme="1"/>
        <rFont val="Calibri"/>
        <family val="2"/>
        <scheme val="minor"/>
      </rPr>
      <t>)</t>
    </r>
  </si>
  <si>
    <r>
      <t xml:space="preserve">4.2 Leaf position repeatability (TG142: </t>
    </r>
    <r>
      <rPr>
        <sz val="11"/>
        <color rgb="FFFF0000"/>
        <rFont val="Calibri"/>
        <family val="2"/>
        <scheme val="minor"/>
      </rPr>
      <t>1mm</t>
    </r>
    <r>
      <rPr>
        <sz val="11"/>
        <color theme="1"/>
        <rFont val="Calibri"/>
        <family val="2"/>
        <scheme val="minor"/>
      </rPr>
      <t>)</t>
    </r>
  </si>
  <si>
    <r>
      <t>4.3 MLC spoke shot (TG142: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</rPr>
      <t>≤1mm radius</t>
    </r>
    <r>
      <rPr>
        <sz val="11"/>
        <color theme="1"/>
        <rFont val="Calibri"/>
        <family val="2"/>
      </rPr>
      <t>)</t>
    </r>
  </si>
  <si>
    <r>
      <t xml:space="preserve">4.4 Coincidence of light field and x-ray field, all energies (TG142: </t>
    </r>
    <r>
      <rPr>
        <sz val="11"/>
        <color rgb="FFFF0000"/>
        <rFont val="Calibri"/>
        <family val="2"/>
        <scheme val="minor"/>
      </rPr>
      <t>2mm</t>
    </r>
    <r>
      <rPr>
        <sz val="11"/>
        <color theme="1"/>
        <rFont val="Calibri"/>
        <family val="2"/>
        <scheme val="minor"/>
      </rPr>
      <t>)</t>
    </r>
  </si>
  <si>
    <t>In Service/Machine QA Mode, open RT Plan: MLC Light Rad</t>
  </si>
  <si>
    <t>Position film, and indicate light field. Deliver to film, beneath buildup.</t>
  </si>
  <si>
    <t>Using DoseLab's FractionLab, analyze a few Trajectory Logs</t>
  </si>
  <si>
    <t>In Machine QA/Service Mode, open daily Winston-Lutz RT Plan</t>
  </si>
  <si>
    <t>Varian GBD, validated against measured data, provides baseline</t>
  </si>
  <si>
    <t>GBD</t>
  </si>
  <si>
    <t>Commis.</t>
  </si>
  <si>
    <t>&lt;1mm</t>
  </si>
  <si>
    <t>Beam Data acquired during commissioning is used as baseline. Located at:</t>
  </si>
  <si>
    <t xml:space="preserve">With ICE Profiler, capture profiles using the notated buildup, wedge plates, etc. </t>
  </si>
  <si>
    <t>NOTE: Depth in file name includes 0.9cm inherent buildup. So solid water depth is: File Name Depth - 0.9cm = Solid Water cm</t>
  </si>
  <si>
    <t>NOTE: Some Beam data acquired at different depths than annual measurement. This is for simplification, and % Differences will serve as Baseline Differences</t>
  </si>
  <si>
    <t>Buildup Profiler files (photons):</t>
  </si>
  <si>
    <t>100 cm SSD</t>
  </si>
  <si>
    <t>Field Size: Variable</t>
  </si>
  <si>
    <t>Field Size</t>
  </si>
  <si>
    <t>Depth (cm)</t>
  </si>
  <si>
    <t>ICE Profiler Measured</t>
  </si>
  <si>
    <t>Y Axis (Inplane)</t>
  </si>
  <si>
    <t>X Axis (Crossplane)</t>
  </si>
  <si>
    <t>Flatness (%)</t>
  </si>
  <si>
    <t>Symmetry (%)</t>
  </si>
  <si>
    <t>6X</t>
  </si>
  <si>
    <t>4x4</t>
  </si>
  <si>
    <t>10X</t>
  </si>
  <si>
    <t>18X</t>
  </si>
  <si>
    <t>Wedge Plate Profiler files (electrons):</t>
  </si>
  <si>
    <t>25x25 Cone</t>
  </si>
  <si>
    <t>Plastic Wedge Plate</t>
  </si>
  <si>
    <t>Energy, Acquisition Parameters</t>
  </si>
  <si>
    <t>% Difference</t>
  </si>
  <si>
    <t>6 MeV, Wedge Plate, 25x25 Cone</t>
  </si>
  <si>
    <t>9 MeV, Wedge Plate, 25x25 Cone</t>
  </si>
  <si>
    <t>12 MeV, Wedge Plate, 25x25 Cone</t>
  </si>
  <si>
    <t>15 MeV, Wedge Plate, 25x25 Cone</t>
  </si>
  <si>
    <t>18 MeV, Wedge Plate, 25x25 Cone</t>
  </si>
  <si>
    <r>
      <t>IC Profiler, 9cm solid water + 0.9cm internal buildup = 9.9cm buildup. 100 SSD, 200 MU, 20x20 cm</t>
    </r>
    <r>
      <rPr>
        <vertAlign val="superscript"/>
        <sz val="10"/>
        <color theme="1"/>
        <rFont val="Calibri"/>
        <family val="2"/>
        <scheme val="minor"/>
      </rPr>
      <t>2</t>
    </r>
  </si>
  <si>
    <t>R:\Physics Documents\TrueBeam\Annual QA\2019\IC Profiler\Wedge Plate</t>
  </si>
  <si>
    <t>EDW X IN</t>
  </si>
  <si>
    <t>3.3 Off-center ratios @ 80% field width @ 10cm (TG142: 2%)</t>
  </si>
  <si>
    <t>IC Profiler reported Y Axes Flatness/Symmetry @80% field width compared to measurements taken 6/2/2016</t>
  </si>
  <si>
    <t>EDW profiler files:</t>
  </si>
  <si>
    <t>2016 Y Flatness (%)</t>
  </si>
  <si>
    <t>Measured Y Flatness (%)</t>
  </si>
  <si>
    <t>2016 Y Symmetry (%)</t>
  </si>
  <si>
    <t>Measured Y Symmetry (%)</t>
  </si>
  <si>
    <t>2020 Baseline</t>
  </si>
  <si>
    <t>Chamber Cross Cal</t>
  </si>
  <si>
    <t>Date:</t>
  </si>
  <si>
    <t>Solid water</t>
  </si>
  <si>
    <t>Pressure (mmHg)</t>
  </si>
  <si>
    <t>SuperMax</t>
  </si>
  <si>
    <t>Reading 1 (nC)</t>
  </si>
  <si>
    <t>Reading 2 (nC)</t>
  </si>
  <si>
    <t>Reading 3 (nC)</t>
  </si>
  <si>
    <t>Corrected Avg</t>
  </si>
  <si>
    <t>S/N 1555</t>
  </si>
  <si>
    <t>Ratio</t>
  </si>
  <si>
    <t>Max4000</t>
  </si>
  <si>
    <t>Photon Correction Factors</t>
  </si>
  <si>
    <t>Site Data</t>
  </si>
  <si>
    <t>Physicist:</t>
  </si>
  <si>
    <t>WSF</t>
  </si>
  <si>
    <t>Linac Make/Model:</t>
  </si>
  <si>
    <t>Varian Truebeam</t>
  </si>
  <si>
    <t>Linac Serial Number:</t>
  </si>
  <si>
    <t>Nominal Photon Energy (MV):</t>
  </si>
  <si>
    <t>Instrumentation Data</t>
  </si>
  <si>
    <t>Chamber Model:</t>
  </si>
  <si>
    <t>N30013</t>
  </si>
  <si>
    <t>Chamber Serial Number:</t>
  </si>
  <si>
    <t>Cavity Inner Radius (cm):</t>
  </si>
  <si>
    <t>Date of Calibration:</t>
  </si>
  <si>
    <t>Electrometer Model:</t>
  </si>
  <si>
    <t>Supermax</t>
  </si>
  <si>
    <t>Electrometer Serial Number:</t>
  </si>
  <si>
    <t>R172001</t>
  </si>
  <si>
    <r>
      <t>P</t>
    </r>
    <r>
      <rPr>
        <b/>
        <vertAlign val="subscript"/>
        <sz val="12"/>
        <rFont val="Arial"/>
        <family val="2"/>
      </rPr>
      <t>elec</t>
    </r>
    <r>
      <rPr>
        <b/>
        <sz val="12"/>
        <rFont val="Arial"/>
        <family val="2"/>
      </rPr>
      <t>:</t>
    </r>
  </si>
  <si>
    <t>Measurement Conditions</t>
  </si>
  <si>
    <t>Setup (SSD or SAD):</t>
  </si>
  <si>
    <t>SSD</t>
  </si>
  <si>
    <r>
      <t>Field Size (cm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>):</t>
    </r>
  </si>
  <si>
    <t>Number of MU:</t>
  </si>
  <si>
    <t>Beam Quality</t>
  </si>
  <si>
    <t>%dd(10):</t>
  </si>
  <si>
    <t>Pressure Conversion:</t>
  </si>
  <si>
    <t>760 mmHg = 101.33 kPa</t>
  </si>
  <si>
    <t>%dd(10)Pb (lead at 30cm +/- 1cm)</t>
  </si>
  <si>
    <r>
      <t>%dd(10)</t>
    </r>
    <r>
      <rPr>
        <b/>
        <vertAlign val="subscript"/>
        <sz val="12"/>
        <rFont val="Arial"/>
        <family val="2"/>
      </rPr>
      <t>x</t>
    </r>
    <r>
      <rPr>
        <b/>
        <sz val="12"/>
        <rFont val="Arial"/>
        <family val="2"/>
      </rPr>
      <t>:</t>
    </r>
  </si>
  <si>
    <r>
      <t>k</t>
    </r>
    <r>
      <rPr>
        <b/>
        <vertAlign val="subscript"/>
        <sz val="12"/>
        <rFont val="Arial"/>
        <family val="2"/>
      </rPr>
      <t>Q</t>
    </r>
    <r>
      <rPr>
        <b/>
        <sz val="12"/>
        <rFont val="Arial"/>
        <family val="2"/>
      </rPr>
      <t xml:space="preserve"> (NOTE: 63&lt;PDD10x&lt;86):</t>
    </r>
  </si>
  <si>
    <t>kQ fit (TG51 update)</t>
  </si>
  <si>
    <t>Output</t>
  </si>
  <si>
    <t>Temperature (°C):</t>
  </si>
  <si>
    <t>Chamber:</t>
  </si>
  <si>
    <t>A</t>
  </si>
  <si>
    <t>Operating Voltage:</t>
  </si>
  <si>
    <t>B</t>
  </si>
  <si>
    <r>
      <t>P</t>
    </r>
    <r>
      <rPr>
        <b/>
        <vertAlign val="subscript"/>
        <sz val="12"/>
        <rFont val="Arial"/>
        <family val="2"/>
      </rPr>
      <t>TP</t>
    </r>
    <r>
      <rPr>
        <b/>
        <sz val="12"/>
        <rFont val="Arial"/>
        <family val="2"/>
      </rPr>
      <t>:</t>
    </r>
  </si>
  <si>
    <t>C</t>
  </si>
  <si>
    <r>
      <t>P</t>
    </r>
    <r>
      <rPr>
        <b/>
        <vertAlign val="subscript"/>
        <sz val="12"/>
        <rFont val="Arial"/>
        <family val="2"/>
      </rPr>
      <t>pol</t>
    </r>
    <r>
      <rPr>
        <b/>
        <sz val="12"/>
        <rFont val="Arial"/>
        <family val="2"/>
      </rPr>
      <t>:</t>
    </r>
  </si>
  <si>
    <r>
      <t>P</t>
    </r>
    <r>
      <rPr>
        <b/>
        <vertAlign val="subscript"/>
        <sz val="12"/>
        <rFont val="Arial"/>
        <family val="2"/>
      </rPr>
      <t>ion</t>
    </r>
    <r>
      <rPr>
        <b/>
        <sz val="12"/>
        <rFont val="Arial"/>
        <family val="2"/>
      </rPr>
      <t>:</t>
    </r>
  </si>
  <si>
    <r>
      <t>M</t>
    </r>
    <r>
      <rPr>
        <b/>
        <vertAlign val="subscript"/>
        <sz val="12"/>
        <rFont val="Arial"/>
        <family val="2"/>
      </rPr>
      <t xml:space="preserve">raw </t>
    </r>
    <r>
      <rPr>
        <b/>
        <sz val="12"/>
        <rFont val="Arial"/>
        <family val="2"/>
      </rPr>
      <t>(nC):</t>
    </r>
  </si>
  <si>
    <t>Corrected Ion Chamber Rdg, M (nC):</t>
  </si>
  <si>
    <t>Dose (cGy) to Water at 10 cm depth:</t>
  </si>
  <si>
    <r>
      <t>Dose (cGy) / MU at d</t>
    </r>
    <r>
      <rPr>
        <b/>
        <vertAlign val="subscript"/>
        <sz val="16"/>
        <rFont val="Arial"/>
        <family val="2"/>
      </rPr>
      <t>max</t>
    </r>
    <r>
      <rPr>
        <b/>
        <sz val="16"/>
        <rFont val="Arial"/>
        <family val="2"/>
      </rPr>
      <t>:</t>
    </r>
  </si>
  <si>
    <r>
      <t>Post M</t>
    </r>
    <r>
      <rPr>
        <b/>
        <vertAlign val="subscript"/>
        <sz val="12"/>
        <rFont val="Arial"/>
        <family val="2"/>
      </rPr>
      <t xml:space="preserve">raw </t>
    </r>
    <r>
      <rPr>
        <b/>
        <sz val="12"/>
        <rFont val="Arial"/>
        <family val="2"/>
      </rPr>
      <t>(nC):</t>
    </r>
  </si>
  <si>
    <t>Post Corrected Ion Rdg, M (nC):</t>
  </si>
  <si>
    <r>
      <t>Post Dose to Water at d</t>
    </r>
    <r>
      <rPr>
        <b/>
        <vertAlign val="subscript"/>
        <sz val="12"/>
        <rFont val="Arial"/>
        <family val="2"/>
      </rPr>
      <t>ref</t>
    </r>
    <r>
      <rPr>
        <b/>
        <sz val="12"/>
        <rFont val="Arial"/>
        <family val="2"/>
      </rPr>
      <t xml:space="preserve"> (cGy):</t>
    </r>
  </si>
  <si>
    <r>
      <t>Post Dose / MU at d</t>
    </r>
    <r>
      <rPr>
        <b/>
        <vertAlign val="subscript"/>
        <sz val="16"/>
        <rFont val="Arial"/>
        <family val="2"/>
      </rPr>
      <t>max</t>
    </r>
    <r>
      <rPr>
        <b/>
        <sz val="16"/>
        <rFont val="Arial"/>
        <family val="2"/>
      </rPr>
      <t>:</t>
    </r>
  </si>
  <si>
    <r>
      <t>M = P</t>
    </r>
    <r>
      <rPr>
        <b/>
        <vertAlign val="subscript"/>
        <sz val="12"/>
        <rFont val="Arial"/>
        <family val="2"/>
      </rPr>
      <t>ion</t>
    </r>
    <r>
      <rPr>
        <b/>
        <sz val="12"/>
        <rFont val="Arial"/>
        <family val="2"/>
      </rPr>
      <t>*P</t>
    </r>
    <r>
      <rPr>
        <b/>
        <vertAlign val="subscript"/>
        <sz val="12"/>
        <rFont val="Arial"/>
        <family val="2"/>
      </rPr>
      <t>TP</t>
    </r>
    <r>
      <rPr>
        <b/>
        <sz val="12"/>
        <rFont val="Arial"/>
        <family val="2"/>
      </rPr>
      <t>*P</t>
    </r>
    <r>
      <rPr>
        <b/>
        <vertAlign val="subscript"/>
        <sz val="12"/>
        <rFont val="Arial"/>
        <family val="2"/>
      </rPr>
      <t>elec</t>
    </r>
    <r>
      <rPr>
        <b/>
        <sz val="12"/>
        <rFont val="Arial"/>
        <family val="2"/>
      </rPr>
      <t>*P</t>
    </r>
    <r>
      <rPr>
        <b/>
        <vertAlign val="subscript"/>
        <sz val="12"/>
        <rFont val="Arial"/>
        <family val="2"/>
      </rPr>
      <t>pol</t>
    </r>
    <r>
      <rPr>
        <b/>
        <sz val="12"/>
        <rFont val="Arial"/>
        <family val="2"/>
      </rPr>
      <t>*M</t>
    </r>
    <r>
      <rPr>
        <b/>
        <vertAlign val="subscript"/>
        <sz val="12"/>
        <rFont val="Arial"/>
        <family val="2"/>
      </rPr>
      <t>raw</t>
    </r>
  </si>
  <si>
    <r>
      <t>Dose to Water at 10 cm depth  = M*k</t>
    </r>
    <r>
      <rPr>
        <b/>
        <i/>
        <vertAlign val="subscript"/>
        <sz val="12"/>
        <rFont val="Arial"/>
        <family val="2"/>
      </rPr>
      <t>Q</t>
    </r>
    <r>
      <rPr>
        <b/>
        <i/>
        <sz val="12"/>
        <rFont val="Arial"/>
        <family val="2"/>
      </rPr>
      <t>*N</t>
    </r>
    <r>
      <rPr>
        <b/>
        <i/>
        <vertAlign val="subscript"/>
        <sz val="12"/>
        <rFont val="Arial"/>
        <family val="2"/>
      </rPr>
      <t>DW</t>
    </r>
    <r>
      <rPr>
        <b/>
        <i/>
        <sz val="12"/>
        <rFont val="Arial"/>
        <family val="2"/>
      </rPr>
      <t>(</t>
    </r>
    <r>
      <rPr>
        <b/>
        <i/>
        <vertAlign val="superscript"/>
        <sz val="12"/>
        <rFont val="Arial"/>
        <family val="2"/>
      </rPr>
      <t>60</t>
    </r>
    <r>
      <rPr>
        <b/>
        <i/>
        <sz val="12"/>
        <rFont val="Arial"/>
        <family val="2"/>
      </rPr>
      <t>Co)</t>
    </r>
  </si>
  <si>
    <t>Electron Correction Factors</t>
  </si>
  <si>
    <t>Nominal Electron Energy (MeV):</t>
  </si>
  <si>
    <t>Distance SSD:</t>
  </si>
  <si>
    <r>
      <t>Field Size on Surface (cm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>):</t>
    </r>
  </si>
  <si>
    <t>dref+0.5rcav</t>
  </si>
  <si>
    <r>
      <t>I</t>
    </r>
    <r>
      <rPr>
        <b/>
        <vertAlign val="subscript"/>
        <sz val="12"/>
        <rFont val="Arial"/>
        <family val="2"/>
      </rPr>
      <t>50</t>
    </r>
    <r>
      <rPr>
        <b/>
        <sz val="12"/>
        <rFont val="Arial"/>
        <family val="2"/>
      </rPr>
      <t>:</t>
    </r>
  </si>
  <si>
    <r>
      <t>M(d</t>
    </r>
    <r>
      <rPr>
        <vertAlign val="subscript"/>
        <sz val="12"/>
        <rFont val="Arial"/>
        <family val="2"/>
      </rPr>
      <t>ref</t>
    </r>
    <r>
      <rPr>
        <sz val="12"/>
        <rFont val="Arial"/>
        <family val="2"/>
      </rPr>
      <t>+0.5</t>
    </r>
    <r>
      <rPr>
        <vertAlign val="subscript"/>
        <sz val="12"/>
        <rFont val="Arial"/>
        <family val="2"/>
      </rPr>
      <t>rcav</t>
    </r>
    <r>
      <rPr>
        <sz val="12"/>
        <rFont val="Arial"/>
        <family val="2"/>
      </rPr>
      <t>)</t>
    </r>
  </si>
  <si>
    <r>
      <t>R</t>
    </r>
    <r>
      <rPr>
        <b/>
        <vertAlign val="subscript"/>
        <sz val="12"/>
        <rFont val="Arial"/>
        <family val="2"/>
      </rPr>
      <t>50</t>
    </r>
    <r>
      <rPr>
        <b/>
        <sz val="12"/>
        <rFont val="Arial"/>
        <family val="2"/>
      </rPr>
      <t>:</t>
    </r>
  </si>
  <si>
    <t xml:space="preserve">Reference Depth, dref :   </t>
  </si>
  <si>
    <r>
      <t>k</t>
    </r>
    <r>
      <rPr>
        <b/>
        <vertAlign val="subscript"/>
        <sz val="12"/>
        <rFont val="Arial"/>
        <family val="2"/>
      </rPr>
      <t>ecal</t>
    </r>
    <r>
      <rPr>
        <b/>
        <sz val="12"/>
        <rFont val="Arial"/>
        <family val="2"/>
      </rPr>
      <t xml:space="preserve">:    </t>
    </r>
  </si>
  <si>
    <r>
      <t>k'</t>
    </r>
    <r>
      <rPr>
        <b/>
        <vertAlign val="subscript"/>
        <sz val="12"/>
        <rFont val="Arial"/>
        <family val="2"/>
      </rPr>
      <t>R50</t>
    </r>
    <r>
      <rPr>
        <b/>
        <sz val="12"/>
        <rFont val="Arial"/>
        <family val="2"/>
      </rPr>
      <t>:</t>
    </r>
  </si>
  <si>
    <r>
      <t>P</t>
    </r>
    <r>
      <rPr>
        <b/>
        <vertAlign val="subscript"/>
        <sz val="12"/>
        <rFont val="Arial"/>
        <family val="2"/>
      </rPr>
      <t>gr</t>
    </r>
    <r>
      <rPr>
        <b/>
        <vertAlign val="superscript"/>
        <sz val="12"/>
        <rFont val="Arial"/>
        <family val="2"/>
      </rPr>
      <t>Q</t>
    </r>
    <r>
      <rPr>
        <b/>
        <sz val="12"/>
        <rFont val="Arial"/>
        <family val="2"/>
      </rPr>
      <t>(cyl):</t>
    </r>
  </si>
  <si>
    <t>Corrected Ion Rdg, M (nC):</t>
  </si>
  <si>
    <r>
      <t>Dose to Water at d</t>
    </r>
    <r>
      <rPr>
        <b/>
        <vertAlign val="subscript"/>
        <sz val="12"/>
        <rFont val="Arial"/>
        <family val="2"/>
      </rPr>
      <t>ref</t>
    </r>
    <r>
      <rPr>
        <b/>
        <sz val="12"/>
        <rFont val="Arial"/>
        <family val="2"/>
      </rPr>
      <t xml:space="preserve"> (cGy):</t>
    </r>
  </si>
  <si>
    <r>
      <t>Clinical %dd(d</t>
    </r>
    <r>
      <rPr>
        <b/>
        <vertAlign val="subscript"/>
        <sz val="12"/>
        <rFont val="Arial"/>
        <family val="2"/>
      </rPr>
      <t>ref</t>
    </r>
    <r>
      <rPr>
        <b/>
        <sz val="12"/>
        <rFont val="Arial"/>
        <family val="2"/>
      </rPr>
      <t>):</t>
    </r>
  </si>
  <si>
    <r>
      <t>Dose / MU at d</t>
    </r>
    <r>
      <rPr>
        <b/>
        <vertAlign val="subscript"/>
        <sz val="16"/>
        <rFont val="Arial"/>
        <family val="2"/>
      </rPr>
      <t>max</t>
    </r>
    <r>
      <rPr>
        <b/>
        <sz val="16"/>
        <rFont val="Arial"/>
        <family val="2"/>
      </rPr>
      <t>:</t>
    </r>
  </si>
  <si>
    <r>
      <t>M = P</t>
    </r>
    <r>
      <rPr>
        <b/>
        <i/>
        <vertAlign val="subscript"/>
        <sz val="14"/>
        <rFont val="Arial"/>
        <family val="2"/>
      </rPr>
      <t>ion</t>
    </r>
    <r>
      <rPr>
        <b/>
        <i/>
        <sz val="14"/>
        <rFont val="Arial"/>
        <family val="2"/>
      </rPr>
      <t>*P</t>
    </r>
    <r>
      <rPr>
        <b/>
        <i/>
        <vertAlign val="subscript"/>
        <sz val="14"/>
        <rFont val="Arial"/>
        <family val="2"/>
      </rPr>
      <t>TP</t>
    </r>
    <r>
      <rPr>
        <b/>
        <i/>
        <sz val="14"/>
        <rFont val="Arial"/>
        <family val="2"/>
      </rPr>
      <t>*P</t>
    </r>
    <r>
      <rPr>
        <b/>
        <i/>
        <vertAlign val="subscript"/>
        <sz val="14"/>
        <rFont val="Arial"/>
        <family val="2"/>
      </rPr>
      <t>elec</t>
    </r>
    <r>
      <rPr>
        <b/>
        <i/>
        <sz val="14"/>
        <rFont val="Arial"/>
        <family val="2"/>
      </rPr>
      <t>*P</t>
    </r>
    <r>
      <rPr>
        <b/>
        <i/>
        <vertAlign val="subscript"/>
        <sz val="14"/>
        <rFont val="Arial"/>
        <family val="2"/>
      </rPr>
      <t>pol</t>
    </r>
    <r>
      <rPr>
        <b/>
        <i/>
        <sz val="14"/>
        <rFont val="Arial"/>
        <family val="2"/>
      </rPr>
      <t>*M</t>
    </r>
    <r>
      <rPr>
        <b/>
        <i/>
        <vertAlign val="subscript"/>
        <sz val="14"/>
        <rFont val="Arial"/>
        <family val="2"/>
      </rPr>
      <t>raw</t>
    </r>
  </si>
  <si>
    <r>
      <t>Dose to Water at 10 cm depth  = M*P</t>
    </r>
    <r>
      <rPr>
        <b/>
        <i/>
        <vertAlign val="subscript"/>
        <sz val="14"/>
        <rFont val="Arial"/>
        <family val="2"/>
      </rPr>
      <t>gr</t>
    </r>
    <r>
      <rPr>
        <b/>
        <i/>
        <sz val="14"/>
        <rFont val="Arial"/>
        <family val="2"/>
      </rPr>
      <t>*k'</t>
    </r>
    <r>
      <rPr>
        <b/>
        <i/>
        <vertAlign val="subscript"/>
        <sz val="14"/>
        <rFont val="Arial"/>
        <family val="2"/>
      </rPr>
      <t>R50</t>
    </r>
    <r>
      <rPr>
        <b/>
        <i/>
        <sz val="14"/>
        <rFont val="Arial"/>
        <family val="2"/>
      </rPr>
      <t>*k</t>
    </r>
    <r>
      <rPr>
        <b/>
        <i/>
        <vertAlign val="subscript"/>
        <sz val="14"/>
        <rFont val="Arial"/>
        <family val="2"/>
      </rPr>
      <t>ecal</t>
    </r>
    <r>
      <rPr>
        <b/>
        <i/>
        <sz val="14"/>
        <rFont val="Arial"/>
        <family val="2"/>
      </rPr>
      <t>*N</t>
    </r>
    <r>
      <rPr>
        <b/>
        <i/>
        <vertAlign val="subscript"/>
        <sz val="14"/>
        <rFont val="Arial"/>
        <family val="2"/>
      </rPr>
      <t>DW</t>
    </r>
    <r>
      <rPr>
        <b/>
        <i/>
        <sz val="14"/>
        <rFont val="Arial"/>
        <family val="2"/>
      </rPr>
      <t>(</t>
    </r>
    <r>
      <rPr>
        <b/>
        <i/>
        <vertAlign val="superscript"/>
        <sz val="14"/>
        <rFont val="Arial"/>
        <family val="2"/>
      </rPr>
      <t>60</t>
    </r>
    <r>
      <rPr>
        <b/>
        <i/>
        <sz val="14"/>
        <rFont val="Arial"/>
        <family val="2"/>
      </rPr>
      <t>Co)</t>
    </r>
  </si>
  <si>
    <r>
      <t>N</t>
    </r>
    <r>
      <rPr>
        <b/>
        <vertAlign val="subscript"/>
        <sz val="12"/>
        <rFont val="Arial"/>
        <family val="2"/>
      </rPr>
      <t>D,W</t>
    </r>
    <r>
      <rPr>
        <b/>
        <sz val="12"/>
        <rFont val="Arial"/>
        <family val="2"/>
      </rPr>
      <t>(</t>
    </r>
    <r>
      <rPr>
        <b/>
        <vertAlign val="superscript"/>
        <sz val="12"/>
        <rFont val="Arial"/>
        <family val="2"/>
      </rPr>
      <t>60</t>
    </r>
    <r>
      <rPr>
        <b/>
        <sz val="12"/>
        <rFont val="Arial"/>
        <family val="2"/>
      </rPr>
      <t>Co) Gy/C:</t>
    </r>
  </si>
  <si>
    <r>
      <t>d</t>
    </r>
    <r>
      <rPr>
        <vertAlign val="subscript"/>
        <sz val="12"/>
        <rFont val="Arial"/>
        <family val="2"/>
      </rPr>
      <t>ref</t>
    </r>
  </si>
  <si>
    <t>Pressure (mmHg):</t>
  </si>
  <si>
    <t>Setup conditions</t>
  </si>
  <si>
    <t>Material</t>
  </si>
  <si>
    <t>Depth</t>
  </si>
  <si>
    <t>5 cm</t>
  </si>
  <si>
    <t>Temp (C)</t>
  </si>
  <si>
    <t>Backscatter</t>
  </si>
  <si>
    <t>11 cm</t>
  </si>
  <si>
    <t>Field size</t>
  </si>
  <si>
    <r>
      <t>10x10 cm</t>
    </r>
    <r>
      <rPr>
        <vertAlign val="superscript"/>
        <sz val="12"/>
        <color theme="1"/>
        <rFont val="Calibri"/>
        <family val="2"/>
        <scheme val="minor"/>
      </rPr>
      <t>2</t>
    </r>
  </si>
  <si>
    <r>
      <t>P</t>
    </r>
    <r>
      <rPr>
        <vertAlign val="subscript"/>
        <sz val="12"/>
        <color theme="1"/>
        <rFont val="Calibri"/>
        <family val="2"/>
        <scheme val="minor"/>
      </rPr>
      <t>TP</t>
    </r>
  </si>
  <si>
    <t>Polarity</t>
  </si>
  <si>
    <t>Chamber 1:</t>
  </si>
  <si>
    <t>Chamber 2:</t>
  </si>
  <si>
    <t>N30013 SN9244</t>
  </si>
  <si>
    <t>Electrometer 1:</t>
  </si>
  <si>
    <t>Electrometer 2:</t>
  </si>
  <si>
    <t>Barometer Cross Cal</t>
  </si>
  <si>
    <t>Item</t>
  </si>
  <si>
    <t>Value</t>
  </si>
  <si>
    <t>Unit</t>
  </si>
  <si>
    <t>Notes</t>
  </si>
  <si>
    <t>Time:</t>
  </si>
  <si>
    <t>Airport readout time</t>
  </si>
  <si>
    <t>Omaha - Eppley</t>
  </si>
  <si>
    <t>Airport pressure</t>
  </si>
  <si>
    <t>inMg</t>
  </si>
  <si>
    <t>At sea level</t>
  </si>
  <si>
    <t>mmMg</t>
  </si>
  <si>
    <t>At station</t>
  </si>
  <si>
    <t>Airport altitude</t>
  </si>
  <si>
    <t>meters</t>
  </si>
  <si>
    <t>Google Earth</t>
  </si>
  <si>
    <t>Clinic</t>
  </si>
  <si>
    <t>Estabrook</t>
  </si>
  <si>
    <t>&lt;--choose</t>
  </si>
  <si>
    <t>Clinic altitude</t>
  </si>
  <si>
    <t>Clinic pressure</t>
  </si>
  <si>
    <t>mmHg</t>
  </si>
  <si>
    <t>Difference</t>
  </si>
  <si>
    <t>%</t>
  </si>
  <si>
    <t>Google earth altittudes</t>
  </si>
  <si>
    <t>Airport</t>
  </si>
  <si>
    <t>Jennie</t>
  </si>
  <si>
    <t>Fremont</t>
  </si>
  <si>
    <t>Your barometer / iPhone</t>
  </si>
  <si>
    <t>% diff in P_TP or output</t>
  </si>
  <si>
    <t>Thermometer Cross Cal</t>
  </si>
  <si>
    <t>Thermometer 1</t>
  </si>
  <si>
    <t>Traceable</t>
  </si>
  <si>
    <t>SN240733782, Due 1/10/26</t>
  </si>
  <si>
    <t>Thermometer 2</t>
  </si>
  <si>
    <t>RadioShack</t>
  </si>
  <si>
    <t>SN 06A01</t>
  </si>
  <si>
    <t>Temperature 1</t>
  </si>
  <si>
    <t>Temperature 2</t>
  </si>
  <si>
    <t>K</t>
  </si>
  <si>
    <t>Device 1 pressure</t>
  </si>
  <si>
    <t>Device 2 pressure</t>
  </si>
  <si>
    <t>Mensor DPG-2400 by GK</t>
  </si>
  <si>
    <t>Difference 1</t>
  </si>
  <si>
    <t>Difference 2</t>
  </si>
  <si>
    <t>Profiler Analysis Setup &gt;&gt; Setup &gt; Analysis</t>
  </si>
  <si>
    <r>
      <t>1.2 Electron profile change from baseline (TG142:</t>
    </r>
    <r>
      <rPr>
        <b/>
        <sz val="14"/>
        <color rgb="FFFF0000"/>
        <rFont val="Calibri"/>
        <family val="2"/>
        <scheme val="minor"/>
      </rPr>
      <t xml:space="preserve"> 1%</t>
    </r>
    <r>
      <rPr>
        <b/>
        <sz val="14"/>
        <color theme="1"/>
        <rFont val="Calibri"/>
        <family val="2"/>
        <scheme val="minor"/>
      </rPr>
      <t>)</t>
    </r>
  </si>
  <si>
    <r>
      <t xml:space="preserve">1.1 X-ray profile change from baseline (TG142: </t>
    </r>
    <r>
      <rPr>
        <b/>
        <sz val="14"/>
        <color rgb="FFFF0000"/>
        <rFont val="Calibri"/>
        <family val="2"/>
        <scheme val="minor"/>
      </rPr>
      <t>1%</t>
    </r>
    <r>
      <rPr>
        <b/>
        <sz val="14"/>
        <color theme="1"/>
        <rFont val="Calibri"/>
        <family val="2"/>
        <scheme val="minor"/>
      </rPr>
      <t>)</t>
    </r>
  </si>
  <si>
    <r>
      <t xml:space="preserve">1.4 TG-51 X-ray/Electron output calibration (TG142: </t>
    </r>
    <r>
      <rPr>
        <b/>
        <sz val="14"/>
        <color rgb="FFFF0000"/>
        <rFont val="Calibri"/>
        <family val="2"/>
        <scheme val="minor"/>
      </rPr>
      <t>1% absolute</t>
    </r>
    <r>
      <rPr>
        <b/>
        <sz val="14"/>
        <color theme="1"/>
        <rFont val="Calibri"/>
        <family val="2"/>
        <scheme val="minor"/>
      </rPr>
      <t>)</t>
    </r>
  </si>
  <si>
    <r>
      <t xml:space="preserve">1.5 X-ray beam quality (TG142: </t>
    </r>
    <r>
      <rPr>
        <b/>
        <sz val="14"/>
        <color rgb="FFFF0000"/>
        <rFont val="Calibri"/>
        <family val="2"/>
        <scheme val="minor"/>
      </rPr>
      <t>1% from baseline</t>
    </r>
    <r>
      <rPr>
        <b/>
        <sz val="14"/>
        <color theme="1"/>
        <rFont val="Calibri"/>
        <family val="2"/>
        <scheme val="minor"/>
      </rPr>
      <t>)</t>
    </r>
  </si>
  <si>
    <r>
      <t xml:space="preserve">1.6 Electron beam quality (TG142: </t>
    </r>
    <r>
      <rPr>
        <b/>
        <sz val="14"/>
        <color rgb="FFFF0000"/>
        <rFont val="Calibri"/>
        <family val="2"/>
        <scheme val="minor"/>
      </rPr>
      <t>1mm</t>
    </r>
    <r>
      <rPr>
        <b/>
        <sz val="14"/>
        <color theme="1"/>
        <rFont val="Calibri"/>
        <family val="2"/>
        <scheme val="minor"/>
      </rPr>
      <t>)</t>
    </r>
  </si>
  <si>
    <r>
      <t xml:space="preserve">1.8 Output factors for electron applicators (TG142: </t>
    </r>
    <r>
      <rPr>
        <b/>
        <sz val="14"/>
        <color rgb="FFFF0000"/>
        <rFont val="Calibri"/>
        <family val="2"/>
        <scheme val="minor"/>
      </rPr>
      <t>2% from baseline</t>
    </r>
    <r>
      <rPr>
        <b/>
        <sz val="14"/>
        <color theme="1"/>
        <rFont val="Calibri"/>
        <family val="2"/>
        <scheme val="minor"/>
      </rPr>
      <t>)</t>
    </r>
  </si>
  <si>
    <r>
      <t xml:space="preserve">1.10 Electron monitor unit linearity (TG142: </t>
    </r>
    <r>
      <rPr>
        <b/>
        <sz val="14"/>
        <color rgb="FFFF0000"/>
        <rFont val="Calibri"/>
        <family val="2"/>
      </rPr>
      <t>≥5 MU, 2%</t>
    </r>
    <r>
      <rPr>
        <b/>
        <sz val="14"/>
        <color theme="1"/>
        <rFont val="Calibri"/>
        <family val="2"/>
      </rPr>
      <t>)</t>
    </r>
  </si>
  <si>
    <r>
      <t xml:space="preserve">1.12 X-ray output constancy vs gantry angle (TG142: </t>
    </r>
    <r>
      <rPr>
        <b/>
        <sz val="14"/>
        <color rgb="FFFF0000"/>
        <rFont val="Calibri"/>
        <family val="2"/>
        <scheme val="minor"/>
      </rPr>
      <t>1% from baseline</t>
    </r>
    <r>
      <rPr>
        <b/>
        <sz val="14"/>
        <color theme="1"/>
        <rFont val="Calibri"/>
        <family val="2"/>
        <scheme val="minor"/>
      </rPr>
      <t>)</t>
    </r>
  </si>
  <si>
    <r>
      <t xml:space="preserve">1.13 Electron output constancy vs gantry angle (TG142: </t>
    </r>
    <r>
      <rPr>
        <b/>
        <sz val="14"/>
        <color rgb="FFFF0000"/>
        <rFont val="Calibri"/>
        <family val="2"/>
        <scheme val="minor"/>
      </rPr>
      <t>1% from baseline</t>
    </r>
    <r>
      <rPr>
        <b/>
        <sz val="14"/>
        <color theme="1"/>
        <rFont val="Calibri"/>
        <family val="2"/>
        <scheme val="minor"/>
      </rPr>
      <t>)</t>
    </r>
  </si>
  <si>
    <r>
      <t xml:space="preserve">1.14 Electron and x-ray off-axis factor constancy vs gantry angle (TG142: </t>
    </r>
    <r>
      <rPr>
        <b/>
        <sz val="14"/>
        <color rgb="FFFF0000"/>
        <rFont val="Calibri"/>
        <family val="2"/>
        <scheme val="minor"/>
      </rPr>
      <t>1% from baseline</t>
    </r>
    <r>
      <rPr>
        <b/>
        <sz val="14"/>
        <color theme="1"/>
        <rFont val="Calibri"/>
        <family val="2"/>
        <scheme val="minor"/>
      </rPr>
      <t>)</t>
    </r>
  </si>
  <si>
    <t>See "TG-51 Photon" and "TG-51 Electron" Tabs</t>
  </si>
  <si>
    <t>PDDs stored at:</t>
  </si>
  <si>
    <t>Field Size:</t>
  </si>
  <si>
    <r>
      <t>R</t>
    </r>
    <r>
      <rPr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 xml:space="preserve"> (cm)</t>
    </r>
  </si>
  <si>
    <r>
      <t>PDD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(%)</t>
    </r>
  </si>
  <si>
    <t>Date</t>
  </si>
  <si>
    <t>Phantom</t>
  </si>
  <si>
    <t>30x30x30 water</t>
  </si>
  <si>
    <t>Chamber</t>
  </si>
  <si>
    <t>0.6Rcav</t>
  </si>
  <si>
    <t>Rcav</t>
  </si>
  <si>
    <t>0.5Rcav</t>
  </si>
  <si>
    <t>cm</t>
  </si>
  <si>
    <t>PDDs</t>
  </si>
  <si>
    <t>POM</t>
  </si>
  <si>
    <t>EPOM</t>
  </si>
  <si>
    <t>Vol</t>
  </si>
  <si>
    <t>A16 micro</t>
  </si>
  <si>
    <t>NDw</t>
  </si>
  <si>
    <t>Gy/C</t>
  </si>
  <si>
    <t>Cal</t>
  </si>
  <si>
    <t>Comm</t>
  </si>
  <si>
    <t>TPS</t>
  </si>
  <si>
    <t>Range</t>
  </si>
  <si>
    <t>Low</t>
  </si>
  <si>
    <t>Units</t>
  </si>
  <si>
    <t>pC</t>
  </si>
  <si>
    <t>Leakage</t>
  </si>
  <si>
    <t>PDD</t>
  </si>
  <si>
    <t>0.001 pA</t>
  </si>
  <si>
    <t>2025 I50</t>
  </si>
  <si>
    <r>
      <t xml:space="preserve">Electron R50 (cm) </t>
    </r>
    <r>
      <rPr>
        <b/>
        <sz val="14"/>
        <color rgb="FFFF0000"/>
        <rFont val="Calibri"/>
        <family val="2"/>
        <scheme val="minor"/>
      </rPr>
      <t>(1mm)</t>
    </r>
  </si>
  <si>
    <r>
      <t xml:space="preserve">Photon PDD10cm (%) </t>
    </r>
    <r>
      <rPr>
        <b/>
        <sz val="14"/>
        <color rgb="FFFF0000"/>
        <rFont val="Calibri"/>
        <family val="2"/>
        <scheme val="minor"/>
      </rPr>
      <t>(1%)</t>
    </r>
  </si>
  <si>
    <t>Reference:
M(+300V)</t>
  </si>
  <si>
    <t>Low:
M(+150V)</t>
  </si>
  <si>
    <t>Reverse:
M(-300V)</t>
  </si>
  <si>
    <t>Things to look into</t>
  </si>
  <si>
    <t>Electron energy baselines</t>
  </si>
  <si>
    <t>MPC enhanced couch full range of motion 0.78 mm</t>
  </si>
  <si>
    <t>2.5 MV beam</t>
  </si>
  <si>
    <t>CBCT HU calibration</t>
  </si>
  <si>
    <t>Farmer chamber 9244</t>
  </si>
  <si>
    <t>100 cm SSD 30cm water tank</t>
  </si>
  <si>
    <r>
      <t>1.9 X-ray monitor unit linearity (TG142:</t>
    </r>
    <r>
      <rPr>
        <b/>
        <sz val="14"/>
        <color rgb="FFFF0000"/>
        <rFont val="Calibri"/>
        <family val="2"/>
        <scheme val="minor"/>
      </rPr>
      <t xml:space="preserve"> 2-4 MU: 5%; ≥5 MU: 2%</t>
    </r>
    <r>
      <rPr>
        <b/>
        <sz val="14"/>
        <color theme="1"/>
        <rFont val="Calibri"/>
        <family val="2"/>
        <scheme val="minor"/>
      </rPr>
      <t>)</t>
    </r>
  </si>
  <si>
    <r>
      <t>1.12 Electron output constancy vs dose rate (TG142:</t>
    </r>
    <r>
      <rPr>
        <b/>
        <sz val="14"/>
        <color rgb="FFFF0000"/>
        <rFont val="Calibri"/>
        <family val="2"/>
        <scheme val="minor"/>
      </rPr>
      <t xml:space="preserve"> 2%)</t>
    </r>
  </si>
  <si>
    <r>
      <t xml:space="preserve">1.11 X-ray output constancy vs dose rate (TG142: </t>
    </r>
    <r>
      <rPr>
        <b/>
        <sz val="14"/>
        <color rgb="FFFF0000"/>
        <rFont val="Calibri"/>
        <family val="2"/>
        <scheme val="minor"/>
      </rPr>
      <t>2%</t>
    </r>
    <r>
      <rPr>
        <b/>
        <sz val="14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</si>
</sst>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0.000"/>
    <numFmt numFmtId="165" formatCode="0\ &quot;MV&quot;"/>
    <numFmt numFmtId="166" formatCode="0.000E+00"/>
    <numFmt numFmtId="167" formatCode="[$-409]d\-mmm\-yyyy;@"/>
    <numFmt numFmtId="168" formatCode="0.0000"/>
    <numFmt numFmtId="169" formatCode="0\ &quot;MeV&quot;"/>
    <numFmt numFmtId="170" formatCode="0.00\ &quot;cm&quot;"/>
    <numFmt numFmtId="171" formatCode="0.0"/>
    <numFmt numFmtId="172" formatCode="0\ &quot;MV FFF&quot;"/>
    <numFmt numFmtId="173" formatCode="0.00&quot; cm&quot;"/>
    <numFmt numFmtId="174" formatCode="[$-409]h:mm\ AM/PM;@"/>
  </numFmts>
  <fonts count="9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62"/>
      <name val="Cambria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</font>
    <font>
      <sz val="10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vertAlign val="superscript"/>
      <sz val="10"/>
      <name val="Calibri"/>
      <family val="2"/>
    </font>
    <font>
      <sz val="11"/>
      <color rgb="FFFF0000"/>
      <name val="Calibri"/>
      <family val="2"/>
    </font>
    <font>
      <vertAlign val="superscript"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color theme="1" tint="0.249977111117893"/>
      <name val="Arial"/>
      <family val="2"/>
    </font>
    <font>
      <b/>
      <sz val="14"/>
      <color theme="1"/>
      <name val="Arial"/>
      <family val="2"/>
    </font>
    <font>
      <b/>
      <vertAlign val="subscript"/>
      <sz val="12"/>
      <name val="Arial"/>
      <family val="2"/>
    </font>
    <font>
      <b/>
      <vertAlign val="superscript"/>
      <sz val="12"/>
      <name val="Arial"/>
      <family val="2"/>
    </font>
    <font>
      <b/>
      <sz val="16"/>
      <name val="Arial"/>
      <family val="2"/>
    </font>
    <font>
      <b/>
      <vertAlign val="subscript"/>
      <sz val="16"/>
      <name val="Arial"/>
      <family val="2"/>
    </font>
    <font>
      <b/>
      <i/>
      <sz val="12"/>
      <name val="Arial"/>
      <family val="2"/>
    </font>
    <font>
      <b/>
      <i/>
      <vertAlign val="subscript"/>
      <sz val="12"/>
      <name val="Arial"/>
      <family val="2"/>
    </font>
    <font>
      <b/>
      <i/>
      <vertAlign val="superscript"/>
      <sz val="12"/>
      <name val="Arial"/>
      <family val="2"/>
    </font>
    <font>
      <b/>
      <sz val="12"/>
      <color theme="1" tint="0.249977111117893"/>
      <name val="Arial"/>
      <family val="2"/>
    </font>
    <font>
      <vertAlign val="subscript"/>
      <sz val="12"/>
      <name val="Arial"/>
      <family val="2"/>
    </font>
    <font>
      <b/>
      <i/>
      <sz val="14"/>
      <name val="Arial"/>
      <family val="2"/>
    </font>
    <font>
      <b/>
      <i/>
      <vertAlign val="subscript"/>
      <sz val="14"/>
      <name val="Arial"/>
      <family val="2"/>
    </font>
    <font>
      <b/>
      <i/>
      <vertAlign val="superscript"/>
      <sz val="14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theme="1"/>
      <name val="Calibri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4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2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9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25" fillId="0" borderId="0"/>
    <xf numFmtId="0" fontId="27" fillId="34" borderId="0" applyNumberFormat="0" applyBorder="0" applyAlignment="0" applyProtection="0"/>
    <xf numFmtId="0" fontId="10" fillId="11" borderId="0" applyNumberFormat="0" applyBorder="0" applyAlignment="0" applyProtection="0"/>
    <xf numFmtId="0" fontId="27" fillId="35" borderId="0" applyNumberFormat="0" applyBorder="0" applyAlignment="0" applyProtection="0"/>
    <xf numFmtId="0" fontId="10" fillId="15" borderId="0" applyNumberFormat="0" applyBorder="0" applyAlignment="0" applyProtection="0"/>
    <xf numFmtId="0" fontId="27" fillId="36" borderId="0" applyNumberFormat="0" applyBorder="0" applyAlignment="0" applyProtection="0"/>
    <xf numFmtId="0" fontId="10" fillId="19" borderId="0" applyNumberFormat="0" applyBorder="0" applyAlignment="0" applyProtection="0"/>
    <xf numFmtId="0" fontId="27" fillId="34" borderId="0" applyNumberFormat="0" applyBorder="0" applyAlignment="0" applyProtection="0"/>
    <xf numFmtId="0" fontId="10" fillId="23" borderId="0" applyNumberFormat="0" applyBorder="0" applyAlignment="0" applyProtection="0"/>
    <xf numFmtId="0" fontId="27" fillId="37" borderId="0" applyNumberFormat="0" applyBorder="0" applyAlignment="0" applyProtection="0"/>
    <xf numFmtId="0" fontId="10" fillId="27" borderId="0" applyNumberFormat="0" applyBorder="0" applyAlignment="0" applyProtection="0"/>
    <xf numFmtId="0" fontId="27" fillId="35" borderId="0" applyNumberFormat="0" applyBorder="0" applyAlignment="0" applyProtection="0"/>
    <xf numFmtId="0" fontId="10" fillId="31" borderId="0" applyNumberFormat="0" applyBorder="0" applyAlignment="0" applyProtection="0"/>
    <xf numFmtId="0" fontId="27" fillId="38" borderId="0" applyNumberFormat="0" applyBorder="0" applyAlignment="0" applyProtection="0"/>
    <xf numFmtId="0" fontId="10" fillId="12" borderId="0" applyNumberFormat="0" applyBorder="0" applyAlignment="0" applyProtection="0"/>
    <xf numFmtId="0" fontId="27" fillId="35" borderId="0" applyNumberFormat="0" applyBorder="0" applyAlignment="0" applyProtection="0"/>
    <xf numFmtId="0" fontId="10" fillId="16" borderId="0" applyNumberFormat="0" applyBorder="0" applyAlignment="0" applyProtection="0"/>
    <xf numFmtId="0" fontId="27" fillId="36" borderId="0" applyNumberFormat="0" applyBorder="0" applyAlignment="0" applyProtection="0"/>
    <xf numFmtId="0" fontId="10" fillId="20" borderId="0" applyNumberFormat="0" applyBorder="0" applyAlignment="0" applyProtection="0"/>
    <xf numFmtId="0" fontId="27" fillId="38" borderId="0" applyNumberFormat="0" applyBorder="0" applyAlignment="0" applyProtection="0"/>
    <xf numFmtId="0" fontId="10" fillId="24" borderId="0" applyNumberFormat="0" applyBorder="0" applyAlignment="0" applyProtection="0"/>
    <xf numFmtId="0" fontId="27" fillId="39" borderId="0" applyNumberFormat="0" applyBorder="0" applyAlignment="0" applyProtection="0"/>
    <xf numFmtId="0" fontId="10" fillId="28" borderId="0" applyNumberFormat="0" applyBorder="0" applyAlignment="0" applyProtection="0"/>
    <xf numFmtId="0" fontId="27" fillId="35" borderId="0" applyNumberFormat="0" applyBorder="0" applyAlignment="0" applyProtection="0"/>
    <xf numFmtId="0" fontId="10" fillId="32" borderId="0" applyNumberFormat="0" applyBorder="0" applyAlignment="0" applyProtection="0"/>
    <xf numFmtId="0" fontId="28" fillId="40" borderId="0" applyNumberFormat="0" applyBorder="0" applyAlignment="0" applyProtection="0"/>
    <xf numFmtId="0" fontId="24" fillId="13" borderId="0" applyNumberFormat="0" applyBorder="0" applyAlignment="0" applyProtection="0"/>
    <xf numFmtId="0" fontId="28" fillId="41" borderId="0" applyNumberFormat="0" applyBorder="0" applyAlignment="0" applyProtection="0"/>
    <xf numFmtId="0" fontId="24" fillId="17" borderId="0" applyNumberFormat="0" applyBorder="0" applyAlignment="0" applyProtection="0"/>
    <xf numFmtId="0" fontId="28" fillId="36" borderId="0" applyNumberFormat="0" applyBorder="0" applyAlignment="0" applyProtection="0"/>
    <xf numFmtId="0" fontId="24" fillId="21" borderId="0" applyNumberFormat="0" applyBorder="0" applyAlignment="0" applyProtection="0"/>
    <xf numFmtId="0" fontId="28" fillId="38" borderId="0" applyNumberFormat="0" applyBorder="0" applyAlignment="0" applyProtection="0"/>
    <xf numFmtId="0" fontId="24" fillId="25" borderId="0" applyNumberFormat="0" applyBorder="0" applyAlignment="0" applyProtection="0"/>
    <xf numFmtId="0" fontId="28" fillId="40" borderId="0" applyNumberFormat="0" applyBorder="0" applyAlignment="0" applyProtection="0"/>
    <xf numFmtId="0" fontId="24" fillId="29" borderId="0" applyNumberFormat="0" applyBorder="0" applyAlignment="0" applyProtection="0"/>
    <xf numFmtId="0" fontId="28" fillId="35" borderId="0" applyNumberFormat="0" applyBorder="0" applyAlignment="0" applyProtection="0"/>
    <xf numFmtId="0" fontId="24" fillId="33" borderId="0" applyNumberFormat="0" applyBorder="0" applyAlignment="0" applyProtection="0"/>
    <xf numFmtId="0" fontId="28" fillId="40" borderId="0" applyNumberFormat="0" applyBorder="0" applyAlignment="0" applyProtection="0"/>
    <xf numFmtId="0" fontId="24" fillId="10" borderId="0" applyNumberFormat="0" applyBorder="0" applyAlignment="0" applyProtection="0"/>
    <xf numFmtId="0" fontId="28" fillId="42" borderId="0" applyNumberFormat="0" applyBorder="0" applyAlignment="0" applyProtection="0"/>
    <xf numFmtId="0" fontId="24" fillId="14" borderId="0" applyNumberFormat="0" applyBorder="0" applyAlignment="0" applyProtection="0"/>
    <xf numFmtId="0" fontId="28" fillId="36" borderId="0" applyNumberFormat="0" applyBorder="0" applyAlignment="0" applyProtection="0"/>
    <xf numFmtId="0" fontId="24" fillId="18" borderId="0" applyNumberFormat="0" applyBorder="0" applyAlignment="0" applyProtection="0"/>
    <xf numFmtId="0" fontId="28" fillId="43" borderId="0" applyNumberFormat="0" applyBorder="0" applyAlignment="0" applyProtection="0"/>
    <xf numFmtId="0" fontId="24" fillId="22" borderId="0" applyNumberFormat="0" applyBorder="0" applyAlignment="0" applyProtection="0"/>
    <xf numFmtId="0" fontId="28" fillId="40" borderId="0" applyNumberFormat="0" applyBorder="0" applyAlignment="0" applyProtection="0"/>
    <xf numFmtId="0" fontId="24" fillId="26" borderId="0" applyNumberFormat="0" applyBorder="0" applyAlignment="0" applyProtection="0"/>
    <xf numFmtId="0" fontId="28" fillId="41" borderId="0" applyNumberFormat="0" applyBorder="0" applyAlignment="0" applyProtection="0"/>
    <xf numFmtId="0" fontId="24" fillId="30" borderId="0" applyNumberFormat="0" applyBorder="0" applyAlignment="0" applyProtection="0"/>
    <xf numFmtId="0" fontId="29" fillId="44" borderId="0" applyNumberFormat="0" applyBorder="0" applyAlignment="0" applyProtection="0"/>
    <xf numFmtId="0" fontId="16" fillId="4" borderId="0" applyNumberFormat="0" applyBorder="0" applyAlignment="0" applyProtection="0"/>
    <xf numFmtId="0" fontId="30" fillId="34" borderId="33" applyNumberFormat="0" applyAlignment="0" applyProtection="0"/>
    <xf numFmtId="0" fontId="20" fillId="7" borderId="27" applyNumberFormat="0" applyAlignment="0" applyProtection="0"/>
    <xf numFmtId="0" fontId="31" fillId="45" borderId="34" applyNumberFormat="0" applyAlignment="0" applyProtection="0"/>
    <xf numFmtId="0" fontId="22" fillId="8" borderId="30" applyNumberFormat="0" applyAlignment="0" applyProtection="0"/>
    <xf numFmtId="0" fontId="3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3" fillId="46" borderId="0" applyNumberFormat="0" applyBorder="0" applyAlignment="0" applyProtection="0"/>
    <xf numFmtId="0" fontId="15" fillId="3" borderId="0" applyNumberFormat="0" applyBorder="0" applyAlignment="0" applyProtection="0"/>
    <xf numFmtId="0" fontId="34" fillId="0" borderId="35" applyNumberFormat="0" applyFill="0" applyAlignment="0" applyProtection="0"/>
    <xf numFmtId="0" fontId="12" fillId="0" borderId="24" applyNumberFormat="0" applyFill="0" applyAlignment="0" applyProtection="0"/>
    <xf numFmtId="0" fontId="35" fillId="0" borderId="36" applyNumberFormat="0" applyFill="0" applyAlignment="0" applyProtection="0"/>
    <xf numFmtId="0" fontId="13" fillId="0" borderId="25" applyNumberFormat="0" applyFill="0" applyAlignment="0" applyProtection="0"/>
    <xf numFmtId="0" fontId="36" fillId="0" borderId="37" applyNumberFormat="0" applyFill="0" applyAlignment="0" applyProtection="0"/>
    <xf numFmtId="0" fontId="14" fillId="0" borderId="26" applyNumberFormat="0" applyFill="0" applyAlignment="0" applyProtection="0"/>
    <xf numFmtId="0" fontId="3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37" fillId="35" borderId="33" applyNumberFormat="0" applyAlignment="0" applyProtection="0"/>
    <xf numFmtId="0" fontId="18" fillId="6" borderId="27" applyNumberFormat="0" applyAlignment="0" applyProtection="0"/>
    <xf numFmtId="0" fontId="38" fillId="0" borderId="38" applyNumberFormat="0" applyFill="0" applyAlignment="0" applyProtection="0"/>
    <xf numFmtId="0" fontId="21" fillId="0" borderId="29" applyNumberFormat="0" applyFill="0" applyAlignment="0" applyProtection="0"/>
    <xf numFmtId="0" fontId="39" fillId="47" borderId="0" applyNumberFormat="0" applyBorder="0" applyAlignment="0" applyProtection="0"/>
    <xf numFmtId="0" fontId="17" fillId="5" borderId="0" applyNumberFormat="0" applyBorder="0" applyAlignment="0" applyProtection="0"/>
    <xf numFmtId="0" fontId="10" fillId="0" borderId="0"/>
    <xf numFmtId="0" fontId="10" fillId="0" borderId="0"/>
    <xf numFmtId="0" fontId="26" fillId="0" borderId="0">
      <alignment vertical="top" wrapText="1"/>
    </xf>
    <xf numFmtId="0" fontId="26" fillId="0" borderId="0"/>
    <xf numFmtId="0" fontId="46" fillId="0" borderId="0"/>
    <xf numFmtId="0" fontId="47" fillId="0" borderId="0"/>
    <xf numFmtId="0" fontId="26" fillId="0" borderId="0"/>
    <xf numFmtId="0" fontId="27" fillId="48" borderId="39" applyNumberFormat="0" applyFont="0" applyAlignment="0" applyProtection="0"/>
    <xf numFmtId="0" fontId="10" fillId="9" borderId="31" applyNumberFormat="0" applyFont="0" applyAlignment="0" applyProtection="0"/>
    <xf numFmtId="0" fontId="40" fillId="34" borderId="40" applyNumberFormat="0" applyAlignment="0" applyProtection="0"/>
    <xf numFmtId="0" fontId="19" fillId="7" borderId="28" applyNumberFormat="0" applyAlignment="0" applyProtection="0"/>
    <xf numFmtId="0" fontId="4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2" fillId="0" borderId="41" applyNumberFormat="0" applyFill="0" applyAlignment="0" applyProtection="0"/>
    <xf numFmtId="0" fontId="1" fillId="0" borderId="32" applyNumberFormat="0" applyFill="0" applyAlignment="0" applyProtection="0"/>
    <xf numFmtId="0" fontId="4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6" fillId="0" borderId="0"/>
    <xf numFmtId="0" fontId="58" fillId="0" borderId="0"/>
    <xf numFmtId="9" fontId="26" fillId="0" borderId="0" applyFont="0" applyFill="0" applyBorder="0" applyAlignment="0" applyProtection="0"/>
    <xf numFmtId="9" fontId="57" fillId="0" borderId="0" applyFont="0" applyFill="0" applyBorder="0" applyAlignment="0" applyProtection="0"/>
    <xf numFmtId="0" fontId="79" fillId="0" borderId="0" applyNumberFormat="0" applyFill="0" applyBorder="0" applyAlignment="0" applyProtection="0"/>
  </cellStyleXfs>
  <cellXfs count="650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1" xfId="0" applyBorder="1"/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0" fontId="7" fillId="0" borderId="0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0" xfId="0" applyFont="1"/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16" xfId="0" applyFont="1" applyBorder="1" applyAlignment="1">
      <alignment horizontal="center" vertical="center"/>
    </xf>
    <xf numFmtId="0" fontId="48" fillId="0" borderId="0" xfId="0" applyFont="1"/>
    <xf numFmtId="0" fontId="0" fillId="0" borderId="0" xfId="0" applyFont="1"/>
    <xf numFmtId="0" fontId="7" fillId="0" borderId="44" xfId="0" applyFont="1" applyBorder="1"/>
    <xf numFmtId="0" fontId="0" fillId="0" borderId="0" xfId="0" applyFill="1"/>
    <xf numFmtId="0" fontId="7" fillId="0" borderId="0" xfId="0" applyFont="1" applyFill="1"/>
    <xf numFmtId="0" fontId="49" fillId="0" borderId="1" xfId="83" applyFont="1" applyFill="1" applyBorder="1" applyAlignment="1"/>
    <xf numFmtId="2" fontId="49" fillId="0" borderId="22" xfId="83" applyNumberFormat="1" applyFont="1" applyBorder="1" applyAlignment="1">
      <alignment horizontal="center" vertical="center"/>
    </xf>
    <xf numFmtId="2" fontId="49" fillId="0" borderId="23" xfId="83" applyNumberFormat="1" applyFont="1" applyBorder="1" applyAlignment="1">
      <alignment horizontal="center" vertical="center"/>
    </xf>
    <xf numFmtId="2" fontId="49" fillId="0" borderId="2" xfId="83" applyNumberFormat="1" applyFont="1" applyBorder="1" applyAlignment="1">
      <alignment horizontal="center" vertical="center"/>
    </xf>
    <xf numFmtId="2" fontId="49" fillId="0" borderId="14" xfId="83" applyNumberFormat="1" applyFont="1" applyBorder="1" applyAlignment="1">
      <alignment horizontal="center" vertical="center"/>
    </xf>
    <xf numFmtId="2" fontId="49" fillId="49" borderId="2" xfId="83" applyNumberFormat="1" applyFont="1" applyFill="1" applyBorder="1" applyAlignment="1">
      <alignment horizontal="center" vertical="center"/>
    </xf>
    <xf numFmtId="0" fontId="49" fillId="0" borderId="22" xfId="83" applyFont="1" applyBorder="1" applyAlignment="1">
      <alignment horizontal="center" vertical="center"/>
    </xf>
    <xf numFmtId="0" fontId="49" fillId="0" borderId="2" xfId="83" applyFont="1" applyBorder="1" applyAlignment="1">
      <alignment horizontal="center" vertical="center"/>
    </xf>
    <xf numFmtId="0" fontId="49" fillId="0" borderId="1" xfId="83" applyFont="1" applyBorder="1" applyAlignment="1">
      <alignment horizontal="center" vertical="center" wrapText="1"/>
    </xf>
    <xf numFmtId="164" fontId="49" fillId="0" borderId="22" xfId="83" applyNumberFormat="1" applyFont="1" applyBorder="1" applyAlignment="1">
      <alignment horizontal="center" vertical="center"/>
    </xf>
    <xf numFmtId="164" fontId="49" fillId="0" borderId="23" xfId="83" applyNumberFormat="1" applyFont="1" applyBorder="1" applyAlignment="1">
      <alignment horizontal="center" vertical="center"/>
    </xf>
    <xf numFmtId="164" fontId="49" fillId="50" borderId="22" xfId="83" applyNumberFormat="1" applyFont="1" applyFill="1" applyBorder="1" applyAlignment="1">
      <alignment horizontal="center" vertical="center"/>
    </xf>
    <xf numFmtId="164" fontId="49" fillId="50" borderId="23" xfId="83" applyNumberFormat="1" applyFont="1" applyFill="1" applyBorder="1" applyAlignment="1">
      <alignment horizontal="center" vertical="center"/>
    </xf>
    <xf numFmtId="164" fontId="49" fillId="0" borderId="22" xfId="83" applyNumberFormat="1" applyFont="1" applyFill="1" applyBorder="1" applyAlignment="1">
      <alignment horizontal="center" vertical="center"/>
    </xf>
    <xf numFmtId="164" fontId="49" fillId="0" borderId="2" xfId="83" applyNumberFormat="1" applyFont="1" applyBorder="1" applyAlignment="1">
      <alignment horizontal="center" vertical="center"/>
    </xf>
    <xf numFmtId="164" fontId="49" fillId="0" borderId="14" xfId="83" applyNumberFormat="1" applyFont="1" applyBorder="1" applyAlignment="1">
      <alignment horizontal="center" vertical="center"/>
    </xf>
    <xf numFmtId="164" fontId="49" fillId="50" borderId="2" xfId="83" applyNumberFormat="1" applyFont="1" applyFill="1" applyBorder="1" applyAlignment="1">
      <alignment horizontal="center" vertical="center"/>
    </xf>
    <xf numFmtId="164" fontId="49" fillId="50" borderId="14" xfId="83" applyNumberFormat="1" applyFont="1" applyFill="1" applyBorder="1" applyAlignment="1">
      <alignment horizontal="center" vertical="center"/>
    </xf>
    <xf numFmtId="164" fontId="49" fillId="0" borderId="2" xfId="83" applyNumberFormat="1" applyFont="1" applyFill="1" applyBorder="1" applyAlignment="1">
      <alignment horizontal="center" vertical="center"/>
    </xf>
    <xf numFmtId="0" fontId="49" fillId="0" borderId="16" xfId="83" applyFont="1" applyBorder="1" applyAlignment="1">
      <alignment horizontal="center" vertical="center"/>
    </xf>
    <xf numFmtId="164" fontId="49" fillId="0" borderId="16" xfId="83" applyNumberFormat="1" applyFont="1" applyBorder="1" applyAlignment="1">
      <alignment horizontal="center" vertical="center"/>
    </xf>
    <xf numFmtId="164" fontId="49" fillId="0" borderId="17" xfId="83" applyNumberFormat="1" applyFont="1" applyBorder="1" applyAlignment="1">
      <alignment horizontal="center" vertical="center"/>
    </xf>
    <xf numFmtId="164" fontId="49" fillId="50" borderId="16" xfId="83" applyNumberFormat="1" applyFont="1" applyFill="1" applyBorder="1" applyAlignment="1">
      <alignment horizontal="center" vertical="center"/>
    </xf>
    <xf numFmtId="164" fontId="49" fillId="50" borderId="17" xfId="83" applyNumberFormat="1" applyFont="1" applyFill="1" applyBorder="1" applyAlignment="1">
      <alignment horizontal="center" vertical="center"/>
    </xf>
    <xf numFmtId="164" fontId="49" fillId="0" borderId="16" xfId="83" applyNumberFormat="1" applyFont="1" applyFill="1" applyBorder="1" applyAlignment="1">
      <alignment horizontal="center" vertical="center"/>
    </xf>
    <xf numFmtId="2" fontId="49" fillId="0" borderId="16" xfId="83" applyNumberFormat="1" applyFont="1" applyBorder="1" applyAlignment="1">
      <alignment horizontal="center" vertical="center"/>
    </xf>
    <xf numFmtId="2" fontId="49" fillId="0" borderId="17" xfId="83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7" fillId="0" borderId="48" xfId="0" applyFont="1" applyBorder="1" applyAlignment="1"/>
    <xf numFmtId="0" fontId="7" fillId="0" borderId="49" xfId="0" applyFont="1" applyBorder="1" applyAlignment="1"/>
    <xf numFmtId="0" fontId="7" fillId="0" borderId="50" xfId="0" applyFont="1" applyBorder="1" applyAlignment="1"/>
    <xf numFmtId="0" fontId="7" fillId="0" borderId="51" xfId="0" applyFont="1" applyBorder="1" applyAlignment="1">
      <alignment horizontal="right"/>
    </xf>
    <xf numFmtId="0" fontId="7" fillId="0" borderId="52" xfId="0" applyFont="1" applyBorder="1" applyAlignment="1">
      <alignment horizontal="right"/>
    </xf>
    <xf numFmtId="0" fontId="7" fillId="0" borderId="53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7" fillId="0" borderId="8" xfId="0" applyFont="1" applyBorder="1" applyAlignment="1">
      <alignment horizontal="left"/>
    </xf>
    <xf numFmtId="0" fontId="7" fillId="0" borderId="46" xfId="0" applyFont="1" applyBorder="1" applyAlignment="1">
      <alignment horizontal="right"/>
    </xf>
    <xf numFmtId="0" fontId="7" fillId="0" borderId="49" xfId="0" applyFont="1" applyBorder="1" applyAlignment="1">
      <alignment horizontal="left"/>
    </xf>
    <xf numFmtId="0" fontId="7" fillId="0" borderId="54" xfId="0" applyFont="1" applyBorder="1" applyAlignment="1">
      <alignment horizontal="right"/>
    </xf>
    <xf numFmtId="0" fontId="7" fillId="0" borderId="55" xfId="0" applyFont="1" applyBorder="1" applyAlignment="1">
      <alignment horizontal="left"/>
    </xf>
    <xf numFmtId="0" fontId="7" fillId="0" borderId="47" xfId="0" applyFont="1" applyBorder="1" applyAlignment="1">
      <alignment horizontal="right"/>
    </xf>
    <xf numFmtId="0" fontId="7" fillId="0" borderId="50" xfId="0" applyFont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26" fillId="0" borderId="0" xfId="94"/>
    <xf numFmtId="2" fontId="26" fillId="0" borderId="0" xfId="94" applyNumberFormat="1" applyBorder="1"/>
    <xf numFmtId="164" fontId="26" fillId="0" borderId="0" xfId="94" applyNumberFormat="1" applyBorder="1" applyAlignment="1">
      <alignment horizontal="right"/>
    </xf>
    <xf numFmtId="164" fontId="26" fillId="0" borderId="0" xfId="94" applyNumberFormat="1" applyBorder="1"/>
    <xf numFmtId="0" fontId="0" fillId="0" borderId="0" xfId="0" applyAlignment="1">
      <alignment horizontal="center" vertical="center" wrapText="1"/>
    </xf>
    <xf numFmtId="0" fontId="9" fillId="0" borderId="0" xfId="0" applyFont="1" applyFill="1"/>
    <xf numFmtId="0" fontId="26" fillId="0" borderId="0" xfId="94" applyFill="1"/>
    <xf numFmtId="2" fontId="26" fillId="0" borderId="0" xfId="94" applyNumberFormat="1" applyFill="1" applyBorder="1"/>
    <xf numFmtId="0" fontId="0" fillId="0" borderId="0" xfId="0" applyFill="1" applyBorder="1"/>
    <xf numFmtId="0" fontId="7" fillId="0" borderId="0" xfId="0" applyFont="1" applyFill="1" applyBorder="1"/>
    <xf numFmtId="0" fontId="48" fillId="0" borderId="0" xfId="94" applyFont="1" applyFill="1" applyBorder="1" applyAlignment="1">
      <alignment vertical="center" wrapText="1"/>
    </xf>
    <xf numFmtId="2" fontId="48" fillId="0" borderId="0" xfId="94" applyNumberFormat="1" applyFont="1" applyFill="1" applyBorder="1"/>
    <xf numFmtId="0" fontId="7" fillId="0" borderId="2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6" fillId="0" borderId="0" xfId="94" applyFont="1"/>
    <xf numFmtId="164" fontId="26" fillId="0" borderId="0" xfId="94" applyNumberFormat="1" applyFont="1" applyBorder="1"/>
    <xf numFmtId="0" fontId="26" fillId="0" borderId="0" xfId="94" applyFont="1" applyAlignment="1">
      <alignment horizontal="center" vertical="center" wrapText="1"/>
    </xf>
    <xf numFmtId="164" fontId="26" fillId="0" borderId="0" xfId="94" applyNumberFormat="1" applyFont="1" applyBorder="1" applyAlignment="1">
      <alignment horizontal="center" vertical="center" wrapText="1"/>
    </xf>
    <xf numFmtId="164" fontId="26" fillId="0" borderId="0" xfId="94" applyNumberFormat="1" applyFill="1" applyBorder="1" applyAlignment="1">
      <alignment horizontal="right"/>
    </xf>
    <xf numFmtId="0" fontId="54" fillId="0" borderId="0" xfId="94" applyFont="1" applyFill="1"/>
    <xf numFmtId="164" fontId="26" fillId="0" borderId="0" xfId="94" applyNumberFormat="1" applyFill="1" applyBorder="1"/>
    <xf numFmtId="0" fontId="7" fillId="0" borderId="1" xfId="0" applyFont="1" applyBorder="1" applyAlignment="1">
      <alignment horizontal="center" vertical="center" wrapText="1"/>
    </xf>
    <xf numFmtId="164" fontId="50" fillId="0" borderId="22" xfId="83" applyNumberFormat="1" applyFont="1" applyFill="1" applyBorder="1" applyAlignment="1">
      <alignment horizontal="center" vertical="center"/>
    </xf>
    <xf numFmtId="164" fontId="50" fillId="0" borderId="22" xfId="83" applyNumberFormat="1" applyFont="1" applyBorder="1" applyAlignment="1">
      <alignment horizontal="center" vertical="center"/>
    </xf>
    <xf numFmtId="164" fontId="50" fillId="0" borderId="23" xfId="83" applyNumberFormat="1" applyFont="1" applyBorder="1" applyAlignment="1">
      <alignment horizontal="center" vertical="center"/>
    </xf>
    <xf numFmtId="164" fontId="50" fillId="0" borderId="2" xfId="83" applyNumberFormat="1" applyFont="1" applyFill="1" applyBorder="1" applyAlignment="1">
      <alignment horizontal="center" vertical="center"/>
    </xf>
    <xf numFmtId="164" fontId="50" fillId="0" borderId="2" xfId="83" applyNumberFormat="1" applyFont="1" applyBorder="1" applyAlignment="1">
      <alignment horizontal="center" vertical="center"/>
    </xf>
    <xf numFmtId="164" fontId="50" fillId="0" borderId="14" xfId="83" applyNumberFormat="1" applyFont="1" applyBorder="1" applyAlignment="1">
      <alignment horizontal="center" vertical="center"/>
    </xf>
    <xf numFmtId="164" fontId="50" fillId="0" borderId="16" xfId="83" applyNumberFormat="1" applyFont="1" applyFill="1" applyBorder="1" applyAlignment="1">
      <alignment horizontal="center" vertical="center"/>
    </xf>
    <xf numFmtId="164" fontId="50" fillId="0" borderId="16" xfId="83" applyNumberFormat="1" applyFont="1" applyBorder="1" applyAlignment="1">
      <alignment horizontal="center" vertical="center"/>
    </xf>
    <xf numFmtId="164" fontId="50" fillId="0" borderId="17" xfId="83" applyNumberFormat="1" applyFont="1" applyBorder="1" applyAlignment="1">
      <alignment horizontal="center" vertical="center"/>
    </xf>
    <xf numFmtId="0" fontId="48" fillId="0" borderId="0" xfId="94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2" fontId="56" fillId="0" borderId="0" xfId="94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5" fillId="0" borderId="0" xfId="0" applyFont="1"/>
    <xf numFmtId="0" fontId="49" fillId="0" borderId="66" xfId="83" applyFont="1" applyBorder="1" applyAlignment="1">
      <alignment horizontal="center" vertical="center"/>
    </xf>
    <xf numFmtId="164" fontId="49" fillId="50" borderId="66" xfId="83" applyNumberFormat="1" applyFont="1" applyFill="1" applyBorder="1" applyAlignment="1">
      <alignment horizontal="center" vertical="center"/>
    </xf>
    <xf numFmtId="164" fontId="49" fillId="0" borderId="66" xfId="83" applyNumberFormat="1" applyFont="1" applyBorder="1" applyAlignment="1">
      <alignment horizontal="center" vertical="center"/>
    </xf>
    <xf numFmtId="164" fontId="49" fillId="0" borderId="67" xfId="83" applyNumberFormat="1" applyFont="1" applyBorder="1" applyAlignment="1">
      <alignment horizontal="center" vertical="center"/>
    </xf>
    <xf numFmtId="2" fontId="49" fillId="49" borderId="16" xfId="83" applyNumberFormat="1" applyFont="1" applyFill="1" applyBorder="1" applyAlignment="1">
      <alignment horizontal="center" vertical="center"/>
    </xf>
    <xf numFmtId="164" fontId="50" fillId="0" borderId="14" xfId="83" applyNumberFormat="1" applyFont="1" applyFill="1" applyBorder="1" applyAlignment="1">
      <alignment horizontal="center" vertical="center"/>
    </xf>
    <xf numFmtId="2" fontId="50" fillId="0" borderId="22" xfId="83" applyNumberFormat="1" applyFont="1" applyBorder="1" applyAlignment="1">
      <alignment horizontal="center" vertical="center"/>
    </xf>
    <xf numFmtId="2" fontId="50" fillId="0" borderId="2" xfId="83" applyNumberFormat="1" applyFont="1" applyBorder="1" applyAlignment="1">
      <alignment horizontal="center" vertical="center"/>
    </xf>
    <xf numFmtId="2" fontId="50" fillId="0" borderId="16" xfId="83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59" xfId="0" applyFont="1" applyBorder="1" applyAlignment="1">
      <alignment horizontal="center" vertical="center"/>
    </xf>
    <xf numFmtId="0" fontId="7" fillId="0" borderId="69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0" fillId="0" borderId="0" xfId="0" applyFont="1"/>
    <xf numFmtId="0" fontId="61" fillId="0" borderId="0" xfId="0" applyFont="1" applyProtection="1">
      <protection locked="0"/>
    </xf>
    <xf numFmtId="0" fontId="62" fillId="0" borderId="0" xfId="0" applyFont="1" applyProtection="1">
      <protection locked="0"/>
    </xf>
    <xf numFmtId="0" fontId="64" fillId="0" borderId="0" xfId="0" applyFont="1" applyProtection="1">
      <protection locked="0"/>
    </xf>
    <xf numFmtId="0" fontId="62" fillId="0" borderId="42" xfId="0" applyFont="1" applyBorder="1"/>
    <xf numFmtId="165" fontId="62" fillId="0" borderId="74" xfId="0" applyNumberFormat="1" applyFont="1" applyBorder="1" applyAlignment="1">
      <alignment horizontal="center"/>
    </xf>
    <xf numFmtId="165" fontId="62" fillId="0" borderId="8" xfId="0" applyNumberFormat="1" applyFont="1" applyBorder="1" applyAlignment="1">
      <alignment horizontal="center"/>
    </xf>
    <xf numFmtId="0" fontId="61" fillId="49" borderId="6" xfId="0" applyFont="1" applyFill="1" applyBorder="1" applyAlignment="1">
      <alignment horizontal="right"/>
    </xf>
    <xf numFmtId="0" fontId="62" fillId="49" borderId="75" xfId="0" applyFont="1" applyFill="1" applyBorder="1" applyAlignment="1" applyProtection="1">
      <alignment horizontal="center"/>
      <protection locked="0"/>
    </xf>
    <xf numFmtId="0" fontId="65" fillId="49" borderId="75" xfId="0" applyFont="1" applyFill="1" applyBorder="1" applyAlignment="1" applyProtection="1">
      <alignment horizontal="center"/>
      <protection locked="0"/>
    </xf>
    <xf numFmtId="0" fontId="65" fillId="49" borderId="76" xfId="0" applyFont="1" applyFill="1" applyBorder="1" applyAlignment="1" applyProtection="1">
      <alignment horizontal="center"/>
      <protection locked="0"/>
    </xf>
    <xf numFmtId="0" fontId="61" fillId="49" borderId="59" xfId="0" applyFont="1" applyFill="1" applyBorder="1" applyAlignment="1">
      <alignment horizontal="right"/>
    </xf>
    <xf numFmtId="14" fontId="62" fillId="49" borderId="70" xfId="0" applyNumberFormat="1" applyFont="1" applyFill="1" applyBorder="1" applyAlignment="1" applyProtection="1">
      <alignment horizontal="center"/>
      <protection locked="0"/>
    </xf>
    <xf numFmtId="14" fontId="65" fillId="49" borderId="70" xfId="0" applyNumberFormat="1" applyFont="1" applyFill="1" applyBorder="1" applyAlignment="1" applyProtection="1">
      <alignment horizontal="center"/>
      <protection locked="0"/>
    </xf>
    <xf numFmtId="14" fontId="65" fillId="49" borderId="65" xfId="0" applyNumberFormat="1" applyFont="1" applyFill="1" applyBorder="1" applyAlignment="1" applyProtection="1">
      <alignment horizontal="center"/>
      <protection locked="0"/>
    </xf>
    <xf numFmtId="0" fontId="62" fillId="49" borderId="45" xfId="0" applyFont="1" applyFill="1" applyBorder="1"/>
    <xf numFmtId="0" fontId="62" fillId="49" borderId="70" xfId="0" applyFont="1" applyFill="1" applyBorder="1" applyAlignment="1" applyProtection="1">
      <alignment horizontal="center"/>
      <protection locked="0"/>
    </xf>
    <xf numFmtId="0" fontId="65" fillId="49" borderId="70" xfId="0" applyFont="1" applyFill="1" applyBorder="1" applyAlignment="1" applyProtection="1">
      <alignment horizontal="center"/>
      <protection locked="0"/>
    </xf>
    <xf numFmtId="0" fontId="65" fillId="49" borderId="65" xfId="0" applyFont="1" applyFill="1" applyBorder="1" applyAlignment="1" applyProtection="1">
      <alignment horizontal="center"/>
      <protection locked="0"/>
    </xf>
    <xf numFmtId="0" fontId="61" fillId="49" borderId="9" xfId="0" applyFont="1" applyFill="1" applyBorder="1" applyAlignment="1">
      <alignment horizontal="right"/>
    </xf>
    <xf numFmtId="164" fontId="62" fillId="54" borderId="63" xfId="0" applyNumberFormat="1" applyFont="1" applyFill="1" applyBorder="1" applyAlignment="1" applyProtection="1">
      <alignment horizontal="center"/>
      <protection locked="0"/>
    </xf>
    <xf numFmtId="164" fontId="62" fillId="54" borderId="69" xfId="0" applyNumberFormat="1" applyFont="1" applyFill="1" applyBorder="1" applyAlignment="1" applyProtection="1">
      <alignment horizontal="center"/>
      <protection locked="0"/>
    </xf>
    <xf numFmtId="164" fontId="62" fillId="54" borderId="72" xfId="0" applyNumberFormat="1" applyFont="1" applyFill="1" applyBorder="1" applyAlignment="1" applyProtection="1">
      <alignment horizontal="center"/>
      <protection locked="0"/>
    </xf>
    <xf numFmtId="164" fontId="62" fillId="54" borderId="78" xfId="0" applyNumberFormat="1" applyFont="1" applyFill="1" applyBorder="1" applyAlignment="1" applyProtection="1">
      <alignment horizontal="center"/>
      <protection locked="0"/>
    </xf>
    <xf numFmtId="166" fontId="62" fillId="54" borderId="70" xfId="0" applyNumberFormat="1" applyFont="1" applyFill="1" applyBorder="1" applyAlignment="1" applyProtection="1">
      <alignment horizontal="center"/>
      <protection locked="0"/>
    </xf>
    <xf numFmtId="166" fontId="65" fillId="54" borderId="70" xfId="0" applyNumberFormat="1" applyFont="1" applyFill="1" applyBorder="1" applyAlignment="1" applyProtection="1">
      <alignment horizontal="center"/>
      <protection locked="0"/>
    </xf>
    <xf numFmtId="166" fontId="65" fillId="54" borderId="65" xfId="0" applyNumberFormat="1" applyFont="1" applyFill="1" applyBorder="1" applyAlignment="1" applyProtection="1">
      <alignment horizontal="center"/>
      <protection locked="0"/>
    </xf>
    <xf numFmtId="167" fontId="62" fillId="49" borderId="79" xfId="0" applyNumberFormat="1" applyFont="1" applyFill="1" applyBorder="1" applyAlignment="1" applyProtection="1">
      <alignment horizontal="center"/>
      <protection locked="0"/>
    </xf>
    <xf numFmtId="167" fontId="65" fillId="49" borderId="79" xfId="0" applyNumberFormat="1" applyFont="1" applyFill="1" applyBorder="1" applyAlignment="1" applyProtection="1">
      <alignment horizontal="center"/>
      <protection locked="0"/>
    </xf>
    <xf numFmtId="167" fontId="65" fillId="49" borderId="68" xfId="0" applyNumberFormat="1" applyFont="1" applyFill="1" applyBorder="1" applyAlignment="1" applyProtection="1">
      <alignment horizontal="center"/>
      <protection locked="0"/>
    </xf>
    <xf numFmtId="164" fontId="62" fillId="54" borderId="74" xfId="0" applyNumberFormat="1" applyFont="1" applyFill="1" applyBorder="1" applyAlignment="1" applyProtection="1">
      <alignment horizontal="center"/>
      <protection locked="0"/>
    </xf>
    <xf numFmtId="164" fontId="62" fillId="54" borderId="8" xfId="0" applyNumberFormat="1" applyFont="1" applyFill="1" applyBorder="1" applyAlignment="1" applyProtection="1">
      <alignment horizontal="center"/>
      <protection locked="0"/>
    </xf>
    <xf numFmtId="164" fontId="62" fillId="54" borderId="70" xfId="0" applyNumberFormat="1" applyFont="1" applyFill="1" applyBorder="1" applyAlignment="1" applyProtection="1">
      <alignment horizontal="center"/>
      <protection locked="0"/>
    </xf>
    <xf numFmtId="164" fontId="65" fillId="54" borderId="70" xfId="0" applyNumberFormat="1" applyFont="1" applyFill="1" applyBorder="1" applyAlignment="1" applyProtection="1">
      <alignment horizontal="center"/>
      <protection locked="0"/>
    </xf>
    <xf numFmtId="164" fontId="65" fillId="54" borderId="65" xfId="0" applyNumberFormat="1" applyFont="1" applyFill="1" applyBorder="1" applyAlignment="1" applyProtection="1">
      <alignment horizontal="center"/>
      <protection locked="0"/>
    </xf>
    <xf numFmtId="0" fontId="62" fillId="54" borderId="79" xfId="0" applyFont="1" applyFill="1" applyBorder="1" applyAlignment="1" applyProtection="1">
      <alignment horizontal="center"/>
      <protection locked="0"/>
    </xf>
    <xf numFmtId="0" fontId="65" fillId="54" borderId="79" xfId="0" applyFont="1" applyFill="1" applyBorder="1" applyAlignment="1" applyProtection="1">
      <alignment horizontal="center"/>
      <protection locked="0"/>
    </xf>
    <xf numFmtId="0" fontId="65" fillId="54" borderId="68" xfId="0" applyFont="1" applyFill="1" applyBorder="1" applyAlignment="1" applyProtection="1">
      <alignment horizontal="center"/>
      <protection locked="0"/>
    </xf>
    <xf numFmtId="2" fontId="62" fillId="54" borderId="75" xfId="0" applyNumberFormat="1" applyFont="1" applyFill="1" applyBorder="1" applyAlignment="1" applyProtection="1">
      <alignment horizontal="center"/>
      <protection locked="0"/>
    </xf>
    <xf numFmtId="2" fontId="62" fillId="54" borderId="76" xfId="0" applyNumberFormat="1" applyFont="1" applyFill="1" applyBorder="1" applyAlignment="1" applyProtection="1">
      <alignment horizontal="center"/>
      <protection locked="0"/>
    </xf>
    <xf numFmtId="0" fontId="62" fillId="55" borderId="56" xfId="0" applyFont="1" applyFill="1" applyBorder="1"/>
    <xf numFmtId="0" fontId="62" fillId="55" borderId="58" xfId="0" applyFont="1" applyFill="1" applyBorder="1"/>
    <xf numFmtId="0" fontId="62" fillId="55" borderId="81" xfId="0" applyFont="1" applyFill="1" applyBorder="1"/>
    <xf numFmtId="0" fontId="62" fillId="55" borderId="57" xfId="0" applyFont="1" applyFill="1" applyBorder="1"/>
    <xf numFmtId="2" fontId="62" fillId="54" borderId="70" xfId="0" applyNumberFormat="1" applyFont="1" applyFill="1" applyBorder="1" applyAlignment="1" applyProtection="1">
      <alignment horizontal="center"/>
      <protection locked="0"/>
    </xf>
    <xf numFmtId="2" fontId="62" fillId="54" borderId="65" xfId="0" applyNumberFormat="1" applyFont="1" applyFill="1" applyBorder="1" applyAlignment="1" applyProtection="1">
      <alignment horizontal="center"/>
      <protection locked="0"/>
    </xf>
    <xf numFmtId="0" fontId="62" fillId="0" borderId="0" xfId="0" applyFont="1"/>
    <xf numFmtId="164" fontId="62" fillId="54" borderId="65" xfId="0" applyNumberFormat="1" applyFont="1" applyFill="1" applyBorder="1" applyAlignment="1" applyProtection="1">
      <alignment horizontal="center"/>
      <protection locked="0"/>
    </xf>
    <xf numFmtId="0" fontId="62" fillId="49" borderId="9" xfId="0" applyFont="1" applyFill="1" applyBorder="1" applyAlignment="1" applyProtection="1">
      <alignment horizontal="right"/>
      <protection locked="0"/>
    </xf>
    <xf numFmtId="0" fontId="62" fillId="49" borderId="10" xfId="0" applyFont="1" applyFill="1" applyBorder="1" applyProtection="1">
      <protection locked="0"/>
    </xf>
    <xf numFmtId="0" fontId="62" fillId="49" borderId="42" xfId="0" applyFont="1" applyFill="1" applyBorder="1" applyProtection="1">
      <protection locked="0"/>
    </xf>
    <xf numFmtId="168" fontId="62" fillId="54" borderId="8" xfId="0" applyNumberFormat="1" applyFont="1" applyFill="1" applyBorder="1" applyAlignment="1" applyProtection="1">
      <alignment horizontal="center"/>
      <protection locked="0"/>
    </xf>
    <xf numFmtId="1" fontId="62" fillId="54" borderId="70" xfId="0" applyNumberFormat="1" applyFont="1" applyFill="1" applyBorder="1" applyAlignment="1" applyProtection="1">
      <alignment horizontal="center"/>
      <protection locked="0"/>
    </xf>
    <xf numFmtId="0" fontId="26" fillId="0" borderId="0" xfId="0" applyFont="1" applyProtection="1">
      <protection locked="0"/>
    </xf>
    <xf numFmtId="0" fontId="62" fillId="49" borderId="45" xfId="0" applyFont="1" applyFill="1" applyBorder="1" applyProtection="1">
      <protection locked="0"/>
    </xf>
    <xf numFmtId="0" fontId="62" fillId="49" borderId="43" xfId="0" applyFont="1" applyFill="1" applyBorder="1" applyProtection="1">
      <protection locked="0"/>
    </xf>
    <xf numFmtId="164" fontId="62" fillId="54" borderId="10" xfId="0" applyNumberFormat="1" applyFont="1" applyFill="1" applyBorder="1" applyAlignment="1" applyProtection="1">
      <alignment horizontal="center"/>
      <protection locked="0"/>
    </xf>
    <xf numFmtId="0" fontId="61" fillId="49" borderId="82" xfId="0" applyFont="1" applyFill="1" applyBorder="1" applyAlignment="1">
      <alignment horizontal="right"/>
    </xf>
    <xf numFmtId="0" fontId="62" fillId="54" borderId="4" xfId="0" applyFont="1" applyFill="1" applyBorder="1" applyAlignment="1" applyProtection="1">
      <alignment horizontal="center"/>
      <protection locked="0"/>
    </xf>
    <xf numFmtId="0" fontId="62" fillId="54" borderId="12" xfId="0" applyFont="1" applyFill="1" applyBorder="1" applyAlignment="1" applyProtection="1">
      <alignment horizontal="center"/>
      <protection locked="0"/>
    </xf>
    <xf numFmtId="0" fontId="69" fillId="49" borderId="9" xfId="0" applyFont="1" applyFill="1" applyBorder="1" applyAlignment="1">
      <alignment horizontal="right"/>
    </xf>
    <xf numFmtId="164" fontId="61" fillId="55" borderId="79" xfId="0" applyNumberFormat="1" applyFont="1" applyFill="1" applyBorder="1" applyAlignment="1">
      <alignment horizontal="center"/>
    </xf>
    <xf numFmtId="164" fontId="61" fillId="55" borderId="68" xfId="0" applyNumberFormat="1" applyFont="1" applyFill="1" applyBorder="1" applyAlignment="1">
      <alignment horizontal="center"/>
    </xf>
    <xf numFmtId="0" fontId="61" fillId="49" borderId="42" xfId="0" applyFont="1" applyFill="1" applyBorder="1" applyAlignment="1">
      <alignment horizontal="right"/>
    </xf>
    <xf numFmtId="164" fontId="62" fillId="54" borderId="83" xfId="0" applyNumberFormat="1" applyFont="1" applyFill="1" applyBorder="1" applyAlignment="1" applyProtection="1">
      <alignment horizontal="center"/>
      <protection locked="0"/>
    </xf>
    <xf numFmtId="164" fontId="62" fillId="54" borderId="76" xfId="0" applyNumberFormat="1" applyFont="1" applyFill="1" applyBorder="1" applyAlignment="1" applyProtection="1">
      <alignment horizontal="center"/>
      <protection locked="0"/>
    </xf>
    <xf numFmtId="0" fontId="61" fillId="49" borderId="45" xfId="0" applyFont="1" applyFill="1" applyBorder="1" applyAlignment="1">
      <alignment horizontal="right"/>
    </xf>
    <xf numFmtId="164" fontId="62" fillId="54" borderId="73" xfId="0" applyNumberFormat="1" applyFont="1" applyFill="1" applyBorder="1" applyAlignment="1" applyProtection="1">
      <alignment horizontal="center"/>
      <protection locked="0"/>
    </xf>
    <xf numFmtId="0" fontId="61" fillId="49" borderId="43" xfId="0" applyFont="1" applyFill="1" applyBorder="1" applyAlignment="1">
      <alignment horizontal="right"/>
    </xf>
    <xf numFmtId="164" fontId="61" fillId="55" borderId="16" xfId="0" applyNumberFormat="1" applyFont="1" applyFill="1" applyBorder="1" applyAlignment="1">
      <alignment horizontal="center"/>
    </xf>
    <xf numFmtId="164" fontId="61" fillId="55" borderId="17" xfId="0" applyNumberFormat="1" applyFont="1" applyFill="1" applyBorder="1" applyAlignment="1">
      <alignment horizontal="center"/>
    </xf>
    <xf numFmtId="0" fontId="62" fillId="49" borderId="7" xfId="0" applyFont="1" applyFill="1" applyBorder="1" applyProtection="1">
      <protection locked="0"/>
    </xf>
    <xf numFmtId="0" fontId="62" fillId="49" borderId="8" xfId="0" applyFont="1" applyFill="1" applyBorder="1" applyProtection="1">
      <protection locked="0"/>
    </xf>
    <xf numFmtId="0" fontId="71" fillId="49" borderId="9" xfId="0" applyFont="1" applyFill="1" applyBorder="1"/>
    <xf numFmtId="0" fontId="62" fillId="49" borderId="1" xfId="0" applyFont="1" applyFill="1" applyBorder="1" applyProtection="1">
      <protection locked="0"/>
    </xf>
    <xf numFmtId="169" fontId="62" fillId="49" borderId="63" xfId="0" applyNumberFormat="1" applyFont="1" applyFill="1" applyBorder="1" applyAlignment="1">
      <alignment horizontal="center"/>
    </xf>
    <xf numFmtId="169" fontId="62" fillId="49" borderId="69" xfId="0" applyNumberFormat="1" applyFont="1" applyFill="1" applyBorder="1" applyAlignment="1">
      <alignment horizontal="center"/>
    </xf>
    <xf numFmtId="169" fontId="63" fillId="49" borderId="79" xfId="0" applyNumberFormat="1" applyFont="1" applyFill="1" applyBorder="1" applyAlignment="1" applyProtection="1">
      <alignment horizontal="center"/>
      <protection locked="0"/>
    </xf>
    <xf numFmtId="169" fontId="63" fillId="49" borderId="68" xfId="0" applyNumberFormat="1" applyFont="1" applyFill="1" applyBorder="1" applyAlignment="1" applyProtection="1">
      <alignment horizontal="center"/>
      <protection locked="0"/>
    </xf>
    <xf numFmtId="0" fontId="61" fillId="54" borderId="79" xfId="0" applyFont="1" applyFill="1" applyBorder="1" applyAlignment="1" applyProtection="1">
      <alignment horizontal="center"/>
      <protection locked="0"/>
    </xf>
    <xf numFmtId="0" fontId="74" fillId="54" borderId="79" xfId="0" applyFont="1" applyFill="1" applyBorder="1" applyAlignment="1" applyProtection="1">
      <alignment horizontal="center"/>
      <protection locked="0"/>
    </xf>
    <xf numFmtId="0" fontId="74" fillId="54" borderId="68" xfId="0" applyFont="1" applyFill="1" applyBorder="1" applyAlignment="1" applyProtection="1">
      <alignment horizontal="center"/>
      <protection locked="0"/>
    </xf>
    <xf numFmtId="170" fontId="62" fillId="54" borderId="75" xfId="0" applyNumberFormat="1" applyFont="1" applyFill="1" applyBorder="1" applyAlignment="1" applyProtection="1">
      <alignment horizontal="center"/>
      <protection locked="0"/>
    </xf>
    <xf numFmtId="170" fontId="62" fillId="54" borderId="76" xfId="0" applyNumberFormat="1" applyFont="1" applyFill="1" applyBorder="1" applyAlignment="1" applyProtection="1">
      <alignment horizontal="center"/>
      <protection locked="0"/>
    </xf>
    <xf numFmtId="171" fontId="62" fillId="54" borderId="70" xfId="0" applyNumberFormat="1" applyFont="1" applyFill="1" applyBorder="1" applyAlignment="1" applyProtection="1">
      <alignment horizontal="center"/>
      <protection locked="0"/>
    </xf>
    <xf numFmtId="171" fontId="62" fillId="54" borderId="65" xfId="0" applyNumberFormat="1" applyFont="1" applyFill="1" applyBorder="1" applyAlignment="1" applyProtection="1">
      <alignment horizontal="center"/>
      <protection locked="0"/>
    </xf>
    <xf numFmtId="171" fontId="62" fillId="54" borderId="75" xfId="0" applyNumberFormat="1" applyFont="1" applyFill="1" applyBorder="1" applyAlignment="1" applyProtection="1">
      <alignment horizontal="center"/>
      <protection locked="0"/>
    </xf>
    <xf numFmtId="171" fontId="62" fillId="54" borderId="76" xfId="0" applyNumberFormat="1" applyFont="1" applyFill="1" applyBorder="1" applyAlignment="1" applyProtection="1">
      <alignment horizontal="center"/>
      <protection locked="0"/>
    </xf>
    <xf numFmtId="0" fontId="61" fillId="49" borderId="46" xfId="0" applyFont="1" applyFill="1" applyBorder="1" applyAlignment="1">
      <alignment horizontal="right"/>
    </xf>
    <xf numFmtId="171" fontId="62" fillId="54" borderId="5" xfId="0" applyNumberFormat="1" applyFont="1" applyFill="1" applyBorder="1" applyAlignment="1" applyProtection="1">
      <alignment horizontal="center"/>
      <protection locked="0"/>
    </xf>
    <xf numFmtId="171" fontId="62" fillId="54" borderId="14" xfId="0" applyNumberFormat="1" applyFont="1" applyFill="1" applyBorder="1" applyAlignment="1" applyProtection="1">
      <alignment horizontal="center"/>
      <protection locked="0"/>
    </xf>
    <xf numFmtId="164" fontId="62" fillId="54" borderId="3" xfId="0" applyNumberFormat="1" applyFont="1" applyFill="1" applyBorder="1" applyAlignment="1" applyProtection="1">
      <alignment horizontal="center"/>
      <protection locked="0"/>
    </xf>
    <xf numFmtId="164" fontId="62" fillId="54" borderId="12" xfId="0" applyNumberFormat="1" applyFont="1" applyFill="1" applyBorder="1" applyAlignment="1" applyProtection="1">
      <alignment horizontal="center"/>
      <protection locked="0"/>
    </xf>
    <xf numFmtId="164" fontId="61" fillId="55" borderId="50" xfId="0" applyNumberFormat="1" applyFont="1" applyFill="1" applyBorder="1" applyAlignment="1">
      <alignment horizontal="center"/>
    </xf>
    <xf numFmtId="0" fontId="76" fillId="49" borderId="59" xfId="0" applyFont="1" applyFill="1" applyBorder="1"/>
    <xf numFmtId="0" fontId="62" fillId="49" borderId="0" xfId="0" applyFont="1" applyFill="1" applyProtection="1">
      <protection locked="0"/>
    </xf>
    <xf numFmtId="0" fontId="62" fillId="49" borderId="69" xfId="0" applyFont="1" applyFill="1" applyBorder="1" applyProtection="1">
      <protection locked="0"/>
    </xf>
    <xf numFmtId="0" fontId="76" fillId="49" borderId="9" xfId="0" applyFont="1" applyFill="1" applyBorder="1"/>
    <xf numFmtId="165" fontId="66" fillId="49" borderId="70" xfId="0" applyNumberFormat="1" applyFont="1" applyFill="1" applyBorder="1" applyAlignment="1" applyProtection="1">
      <alignment horizontal="center"/>
      <protection locked="0"/>
    </xf>
    <xf numFmtId="165" fontId="66" fillId="49" borderId="65" xfId="0" applyNumberFormat="1" applyFont="1" applyFill="1" applyBorder="1" applyAlignment="1" applyProtection="1">
      <alignment horizontal="center"/>
      <protection locked="0"/>
    </xf>
    <xf numFmtId="171" fontId="62" fillId="54" borderId="73" xfId="0" applyNumberFormat="1" applyFont="1" applyFill="1" applyBorder="1" applyAlignment="1" applyProtection="1">
      <alignment horizontal="center"/>
      <protection locked="0"/>
    </xf>
    <xf numFmtId="0" fontId="61" fillId="49" borderId="47" xfId="0" applyFont="1" applyFill="1" applyBorder="1" applyAlignment="1">
      <alignment horizontal="right"/>
    </xf>
    <xf numFmtId="172" fontId="66" fillId="49" borderId="70" xfId="0" applyNumberFormat="1" applyFont="1" applyFill="1" applyBorder="1" applyAlignment="1" applyProtection="1">
      <alignment horizontal="center"/>
      <protection locked="0"/>
    </xf>
    <xf numFmtId="170" fontId="62" fillId="50" borderId="70" xfId="0" applyNumberFormat="1" applyFont="1" applyFill="1" applyBorder="1" applyAlignment="1">
      <alignment horizontal="center"/>
    </xf>
    <xf numFmtId="170" fontId="62" fillId="50" borderId="65" xfId="0" applyNumberFormat="1" applyFont="1" applyFill="1" applyBorder="1" applyAlignment="1">
      <alignment horizontal="center"/>
    </xf>
    <xf numFmtId="170" fontId="61" fillId="50" borderId="70" xfId="0" applyNumberFormat="1" applyFont="1" applyFill="1" applyBorder="1" applyAlignment="1">
      <alignment horizontal="center"/>
    </xf>
    <xf numFmtId="170" fontId="61" fillId="50" borderId="65" xfId="0" applyNumberFormat="1" applyFont="1" applyFill="1" applyBorder="1" applyAlignment="1">
      <alignment horizontal="center"/>
    </xf>
    <xf numFmtId="164" fontId="62" fillId="50" borderId="70" xfId="0" applyNumberFormat="1" applyFont="1" applyFill="1" applyBorder="1" applyAlignment="1">
      <alignment horizontal="center"/>
    </xf>
    <xf numFmtId="164" fontId="62" fillId="50" borderId="65" xfId="0" applyNumberFormat="1" applyFont="1" applyFill="1" applyBorder="1" applyAlignment="1">
      <alignment horizontal="center"/>
    </xf>
    <xf numFmtId="164" fontId="62" fillId="50" borderId="80" xfId="0" applyNumberFormat="1" applyFont="1" applyFill="1" applyBorder="1" applyAlignment="1">
      <alignment horizontal="center"/>
    </xf>
    <xf numFmtId="164" fontId="62" fillId="50" borderId="10" xfId="0" applyNumberFormat="1" applyFont="1" applyFill="1" applyBorder="1" applyAlignment="1">
      <alignment horizontal="center"/>
    </xf>
    <xf numFmtId="0" fontId="62" fillId="50" borderId="77" xfId="0" applyFont="1" applyFill="1" applyBorder="1" applyAlignment="1">
      <alignment horizontal="center"/>
    </xf>
    <xf numFmtId="0" fontId="62" fillId="50" borderId="48" xfId="0" applyFont="1" applyFill="1" applyBorder="1" applyAlignment="1">
      <alignment horizontal="center"/>
    </xf>
    <xf numFmtId="2" fontId="62" fillId="50" borderId="70" xfId="0" applyNumberFormat="1" applyFont="1" applyFill="1" applyBorder="1" applyAlignment="1">
      <alignment horizontal="center"/>
    </xf>
    <xf numFmtId="2" fontId="62" fillId="50" borderId="65" xfId="0" applyNumberFormat="1" applyFont="1" applyFill="1" applyBorder="1" applyAlignment="1">
      <alignment horizontal="center"/>
    </xf>
    <xf numFmtId="1" fontId="62" fillId="50" borderId="77" xfId="0" applyNumberFormat="1" applyFont="1" applyFill="1" applyBorder="1" applyAlignment="1">
      <alignment horizontal="center"/>
    </xf>
    <xf numFmtId="1" fontId="62" fillId="50" borderId="48" xfId="0" applyNumberFormat="1" applyFont="1" applyFill="1" applyBorder="1" applyAlignment="1">
      <alignment horizontal="center"/>
    </xf>
    <xf numFmtId="0" fontId="61" fillId="49" borderId="70" xfId="0" applyFont="1" applyFill="1" applyBorder="1" applyAlignment="1" applyProtection="1">
      <alignment horizontal="center"/>
      <protection locked="0"/>
    </xf>
    <xf numFmtId="166" fontId="61" fillId="54" borderId="70" xfId="0" applyNumberFormat="1" applyFont="1" applyFill="1" applyBorder="1" applyAlignment="1" applyProtection="1">
      <alignment horizontal="center"/>
      <protection locked="0"/>
    </xf>
    <xf numFmtId="167" fontId="61" fillId="49" borderId="79" xfId="0" applyNumberFormat="1" applyFont="1" applyFill="1" applyBorder="1" applyAlignment="1" applyProtection="1">
      <alignment horizontal="center"/>
      <protection locked="0"/>
    </xf>
    <xf numFmtId="164" fontId="61" fillId="54" borderId="70" xfId="0" applyNumberFormat="1" applyFont="1" applyFill="1" applyBorder="1" applyAlignment="1" applyProtection="1">
      <alignment horizontal="center"/>
      <protection locked="0"/>
    </xf>
    <xf numFmtId="0" fontId="74" fillId="49" borderId="70" xfId="0" applyFont="1" applyFill="1" applyBorder="1" applyAlignment="1" applyProtection="1">
      <alignment horizontal="center"/>
      <protection locked="0"/>
    </xf>
    <xf numFmtId="0" fontId="74" fillId="49" borderId="65" xfId="0" applyFont="1" applyFill="1" applyBorder="1" applyAlignment="1" applyProtection="1">
      <alignment horizontal="center"/>
      <protection locked="0"/>
    </xf>
    <xf numFmtId="166" fontId="74" fillId="54" borderId="70" xfId="0" applyNumberFormat="1" applyFont="1" applyFill="1" applyBorder="1" applyAlignment="1" applyProtection="1">
      <alignment horizontal="center"/>
      <protection locked="0"/>
    </xf>
    <xf numFmtId="166" fontId="74" fillId="54" borderId="65" xfId="0" applyNumberFormat="1" applyFont="1" applyFill="1" applyBorder="1" applyAlignment="1" applyProtection="1">
      <alignment horizontal="center"/>
      <protection locked="0"/>
    </xf>
    <xf numFmtId="167" fontId="74" fillId="49" borderId="79" xfId="0" applyNumberFormat="1" applyFont="1" applyFill="1" applyBorder="1" applyAlignment="1" applyProtection="1">
      <alignment horizontal="center"/>
      <protection locked="0"/>
    </xf>
    <xf numFmtId="167" fontId="74" fillId="49" borderId="68" xfId="0" applyNumberFormat="1" applyFont="1" applyFill="1" applyBorder="1" applyAlignment="1" applyProtection="1">
      <alignment horizontal="center"/>
      <protection locked="0"/>
    </xf>
    <xf numFmtId="164" fontId="74" fillId="54" borderId="70" xfId="0" applyNumberFormat="1" applyFont="1" applyFill="1" applyBorder="1" applyAlignment="1" applyProtection="1">
      <alignment horizontal="center"/>
      <protection locked="0"/>
    </xf>
    <xf numFmtId="164" fontId="74" fillId="54" borderId="65" xfId="0" applyNumberFormat="1" applyFont="1" applyFill="1" applyBorder="1" applyAlignment="1" applyProtection="1">
      <alignment horizontal="center"/>
      <protection locked="0"/>
    </xf>
    <xf numFmtId="1" fontId="61" fillId="54" borderId="70" xfId="0" applyNumberFormat="1" applyFont="1" applyFill="1" applyBorder="1" applyAlignment="1" applyProtection="1">
      <alignment horizontal="center"/>
      <protection locked="0"/>
    </xf>
    <xf numFmtId="1" fontId="61" fillId="54" borderId="65" xfId="0" applyNumberFormat="1" applyFont="1" applyFill="1" applyBorder="1" applyAlignment="1" applyProtection="1">
      <alignment horizontal="center"/>
      <protection locked="0"/>
    </xf>
    <xf numFmtId="0" fontId="62" fillId="49" borderId="45" xfId="0" applyFont="1" applyFill="1" applyBorder="1" applyAlignment="1">
      <alignment horizontal="center"/>
    </xf>
    <xf numFmtId="0" fontId="62" fillId="49" borderId="43" xfId="0" applyFont="1" applyFill="1" applyBorder="1" applyAlignment="1">
      <alignment horizontal="center"/>
    </xf>
    <xf numFmtId="0" fontId="62" fillId="49" borderId="43" xfId="0" applyFont="1" applyFill="1" applyBorder="1" applyAlignment="1">
      <alignment horizontal="right"/>
    </xf>
    <xf numFmtId="1" fontId="62" fillId="50" borderId="22" xfId="0" applyNumberFormat="1" applyFont="1" applyFill="1" applyBorder="1" applyAlignment="1">
      <alignment horizontal="center"/>
    </xf>
    <xf numFmtId="1" fontId="62" fillId="50" borderId="74" xfId="0" applyNumberFormat="1" applyFont="1" applyFill="1" applyBorder="1" applyAlignment="1">
      <alignment horizontal="center"/>
    </xf>
    <xf numFmtId="1" fontId="62" fillId="50" borderId="8" xfId="0" applyNumberFormat="1" applyFont="1" applyFill="1" applyBorder="1" applyAlignment="1">
      <alignment horizontal="center"/>
    </xf>
    <xf numFmtId="164" fontId="62" fillId="54" borderId="66" xfId="0" applyNumberFormat="1" applyFont="1" applyFill="1" applyBorder="1" applyAlignment="1" applyProtection="1">
      <alignment horizontal="center"/>
      <protection locked="0"/>
    </xf>
    <xf numFmtId="164" fontId="62" fillId="54" borderId="84" xfId="0" applyNumberFormat="1" applyFont="1" applyFill="1" applyBorder="1" applyAlignment="1" applyProtection="1">
      <alignment horizontal="center"/>
      <protection locked="0"/>
    </xf>
    <xf numFmtId="164" fontId="62" fillId="54" borderId="55" xfId="0" applyNumberFormat="1" applyFont="1" applyFill="1" applyBorder="1" applyAlignment="1" applyProtection="1">
      <alignment horizontal="center"/>
      <protection locked="0"/>
    </xf>
    <xf numFmtId="0" fontId="62" fillId="49" borderId="21" xfId="0" applyFont="1" applyFill="1" applyBorder="1" applyAlignment="1">
      <alignment horizontal="center"/>
    </xf>
    <xf numFmtId="170" fontId="62" fillId="49" borderId="63" xfId="0" applyNumberFormat="1" applyFont="1" applyFill="1" applyBorder="1" applyAlignment="1">
      <alignment horizontal="center"/>
    </xf>
    <xf numFmtId="170" fontId="62" fillId="49" borderId="69" xfId="0" applyNumberFormat="1" applyFont="1" applyFill="1" applyBorder="1" applyAlignment="1">
      <alignment horizontal="center"/>
    </xf>
    <xf numFmtId="0" fontId="62" fillId="50" borderId="74" xfId="0" applyFont="1" applyFill="1" applyBorder="1" applyAlignment="1">
      <alignment horizontal="center"/>
    </xf>
    <xf numFmtId="0" fontId="62" fillId="50" borderId="8" xfId="0" applyFont="1" applyFill="1" applyBorder="1" applyAlignment="1">
      <alignment horizontal="center"/>
    </xf>
    <xf numFmtId="173" fontId="62" fillId="50" borderId="22" xfId="0" applyNumberFormat="1" applyFont="1" applyFill="1" applyBorder="1" applyAlignment="1">
      <alignment horizontal="center"/>
    </xf>
    <xf numFmtId="173" fontId="62" fillId="50" borderId="77" xfId="0" applyNumberFormat="1" applyFont="1" applyFill="1" applyBorder="1" applyAlignment="1">
      <alignment horizontal="center"/>
    </xf>
    <xf numFmtId="173" fontId="62" fillId="50" borderId="48" xfId="0" applyNumberFormat="1" applyFont="1" applyFill="1" applyBorder="1" applyAlignment="1">
      <alignment horizontal="center"/>
    </xf>
    <xf numFmtId="0" fontId="80" fillId="0" borderId="0" xfId="0" applyFont="1"/>
    <xf numFmtId="0" fontId="81" fillId="0" borderId="59" xfId="0" applyFont="1" applyBorder="1" applyAlignment="1">
      <alignment vertical="center"/>
    </xf>
    <xf numFmtId="0" fontId="81" fillId="0" borderId="0" xfId="0" applyFont="1" applyAlignment="1">
      <alignment vertical="center"/>
    </xf>
    <xf numFmtId="0" fontId="80" fillId="0" borderId="69" xfId="0" applyFont="1" applyBorder="1"/>
    <xf numFmtId="0" fontId="81" fillId="0" borderId="59" xfId="0" applyFont="1" applyBorder="1"/>
    <xf numFmtId="0" fontId="80" fillId="0" borderId="0" xfId="0" applyFont="1" applyAlignment="1">
      <alignment horizontal="right"/>
    </xf>
    <xf numFmtId="0" fontId="80" fillId="0" borderId="2" xfId="0" applyFont="1" applyBorder="1"/>
    <xf numFmtId="0" fontId="80" fillId="0" borderId="59" xfId="0" applyFont="1" applyBorder="1"/>
    <xf numFmtId="0" fontId="80" fillId="0" borderId="86" xfId="0" applyFont="1" applyBorder="1"/>
    <xf numFmtId="164" fontId="82" fillId="54" borderId="2" xfId="0" applyNumberFormat="1" applyFont="1" applyFill="1" applyBorder="1" applyAlignment="1" applyProtection="1">
      <alignment horizontal="center"/>
      <protection locked="0"/>
    </xf>
    <xf numFmtId="0" fontId="80" fillId="0" borderId="70" xfId="0" applyFont="1" applyBorder="1"/>
    <xf numFmtId="0" fontId="80" fillId="0" borderId="66" xfId="0" applyFont="1" applyBorder="1" applyAlignment="1">
      <alignment horizontal="right"/>
    </xf>
    <xf numFmtId="171" fontId="82" fillId="54" borderId="2" xfId="0" applyNumberFormat="1" applyFont="1" applyFill="1" applyBorder="1" applyAlignment="1" applyProtection="1">
      <alignment horizontal="center"/>
      <protection locked="0"/>
    </xf>
    <xf numFmtId="0" fontId="80" fillId="0" borderId="73" xfId="0" applyFont="1" applyBorder="1" applyAlignment="1">
      <alignment horizontal="right"/>
    </xf>
    <xf numFmtId="0" fontId="80" fillId="0" borderId="3" xfId="0" applyFont="1" applyBorder="1" applyAlignment="1">
      <alignment horizontal="right"/>
    </xf>
    <xf numFmtId="164" fontId="82" fillId="50" borderId="2" xfId="0" applyNumberFormat="1" applyFont="1" applyFill="1" applyBorder="1" applyAlignment="1">
      <alignment horizontal="center"/>
    </xf>
    <xf numFmtId="0" fontId="80" fillId="0" borderId="4" xfId="0" applyFont="1" applyBorder="1"/>
    <xf numFmtId="164" fontId="82" fillId="0" borderId="0" xfId="0" applyNumberFormat="1" applyFont="1" applyAlignment="1" applyProtection="1">
      <alignment horizontal="center"/>
      <protection locked="0"/>
    </xf>
    <xf numFmtId="0" fontId="80" fillId="0" borderId="70" xfId="0" applyFont="1" applyBorder="1" applyAlignment="1">
      <alignment horizontal="right"/>
    </xf>
    <xf numFmtId="2" fontId="82" fillId="54" borderId="2" xfId="0" applyNumberFormat="1" applyFont="1" applyFill="1" applyBorder="1" applyAlignment="1" applyProtection="1">
      <alignment horizontal="right" vertical="center"/>
      <protection locked="0"/>
    </xf>
    <xf numFmtId="0" fontId="80" fillId="0" borderId="4" xfId="0" applyFont="1" applyBorder="1" applyAlignment="1">
      <alignment horizontal="right"/>
    </xf>
    <xf numFmtId="2" fontId="80" fillId="0" borderId="2" xfId="0" applyNumberFormat="1" applyFont="1" applyBorder="1" applyAlignment="1">
      <alignment horizontal="right" vertical="center"/>
    </xf>
    <xf numFmtId="0" fontId="80" fillId="0" borderId="71" xfId="0" applyFont="1" applyBorder="1" applyAlignment="1">
      <alignment horizontal="right"/>
    </xf>
    <xf numFmtId="0" fontId="80" fillId="0" borderId="9" xfId="0" applyFont="1" applyBorder="1"/>
    <xf numFmtId="0" fontId="80" fillId="0" borderId="1" xfId="0" applyFont="1" applyBorder="1"/>
    <xf numFmtId="0" fontId="80" fillId="0" borderId="10" xfId="0" applyFont="1" applyBorder="1"/>
    <xf numFmtId="14" fontId="80" fillId="0" borderId="2" xfId="0" applyNumberFormat="1" applyFont="1" applyBorder="1"/>
    <xf numFmtId="0" fontId="81" fillId="0" borderId="2" xfId="0" applyFont="1" applyBorder="1"/>
    <xf numFmtId="18" fontId="80" fillId="0" borderId="2" xfId="0" applyNumberFormat="1" applyFont="1" applyBorder="1"/>
    <xf numFmtId="174" fontId="82" fillId="54" borderId="2" xfId="0" applyNumberFormat="1" applyFont="1" applyFill="1" applyBorder="1" applyAlignment="1" applyProtection="1">
      <alignment horizontal="right" vertical="center"/>
      <protection locked="0"/>
    </xf>
    <xf numFmtId="18" fontId="80" fillId="0" borderId="0" xfId="0" applyNumberFormat="1" applyFont="1"/>
    <xf numFmtId="2" fontId="80" fillId="0" borderId="2" xfId="0" applyNumberFormat="1" applyFont="1" applyBorder="1"/>
    <xf numFmtId="1" fontId="82" fillId="54" borderId="2" xfId="0" applyNumberFormat="1" applyFont="1" applyFill="1" applyBorder="1" applyAlignment="1" applyProtection="1">
      <alignment horizontal="right" vertical="center"/>
      <protection locked="0"/>
    </xf>
    <xf numFmtId="2" fontId="81" fillId="0" borderId="2" xfId="0" applyNumberFormat="1" applyFont="1" applyBorder="1"/>
    <xf numFmtId="0" fontId="80" fillId="56" borderId="2" xfId="0" applyFont="1" applyFill="1" applyBorder="1"/>
    <xf numFmtId="0" fontId="82" fillId="54" borderId="2" xfId="0" applyFont="1" applyFill="1" applyBorder="1" applyAlignment="1" applyProtection="1">
      <alignment horizontal="right" vertical="center"/>
      <protection locked="0"/>
    </xf>
    <xf numFmtId="0" fontId="80" fillId="0" borderId="5" xfId="0" applyFont="1" applyBorder="1" applyAlignment="1">
      <alignment horizontal="right"/>
    </xf>
    <xf numFmtId="0" fontId="80" fillId="0" borderId="5" xfId="0" applyFont="1" applyBorder="1" applyAlignment="1">
      <alignment horizontal="center"/>
    </xf>
    <xf numFmtId="0" fontId="80" fillId="0" borderId="85" xfId="0" applyFont="1" applyBorder="1" applyAlignment="1">
      <alignment horizontal="center"/>
    </xf>
    <xf numFmtId="0" fontId="81" fillId="0" borderId="2" xfId="0" applyFont="1" applyBorder="1" applyAlignment="1">
      <alignment horizontal="center"/>
    </xf>
    <xf numFmtId="1" fontId="82" fillId="49" borderId="2" xfId="0" applyNumberFormat="1" applyFont="1" applyFill="1" applyBorder="1" applyAlignment="1" applyProtection="1">
      <alignment horizontal="right" vertical="center"/>
      <protection locked="0"/>
    </xf>
    <xf numFmtId="0" fontId="7" fillId="0" borderId="0" xfId="0" applyFont="1" applyBorder="1" applyAlignment="1">
      <alignment horizontal="center" vertical="center"/>
    </xf>
    <xf numFmtId="0" fontId="7" fillId="0" borderId="59" xfId="0" applyFont="1" applyBorder="1" applyAlignment="1">
      <alignment horizontal="center" vertical="center"/>
    </xf>
    <xf numFmtId="0" fontId="7" fillId="0" borderId="69" xfId="0" applyFont="1" applyBorder="1" applyAlignment="1">
      <alignment horizontal="center" vertical="center"/>
    </xf>
    <xf numFmtId="164" fontId="81" fillId="0" borderId="2" xfId="0" applyNumberFormat="1" applyFont="1" applyBorder="1"/>
    <xf numFmtId="0" fontId="6" fillId="57" borderId="13" xfId="0" applyFont="1" applyFill="1" applyBorder="1" applyAlignment="1">
      <alignment horizontal="center"/>
    </xf>
    <xf numFmtId="0" fontId="6" fillId="57" borderId="21" xfId="0" applyFont="1" applyFill="1" applyBorder="1" applyAlignment="1">
      <alignment horizontal="center" vertical="center"/>
    </xf>
    <xf numFmtId="0" fontId="6" fillId="57" borderId="2" xfId="0" applyFont="1" applyFill="1" applyBorder="1" applyAlignment="1">
      <alignment horizontal="center" vertical="center"/>
    </xf>
    <xf numFmtId="0" fontId="6" fillId="57" borderId="22" xfId="0" applyFont="1" applyFill="1" applyBorder="1" applyAlignment="1">
      <alignment horizontal="center" vertical="center"/>
    </xf>
    <xf numFmtId="0" fontId="6" fillId="57" borderId="23" xfId="0" applyFont="1" applyFill="1" applyBorder="1" applyAlignment="1">
      <alignment horizontal="center" vertical="center"/>
    </xf>
    <xf numFmtId="0" fontId="6" fillId="57" borderId="13" xfId="0" applyFont="1" applyFill="1" applyBorder="1" applyAlignment="1">
      <alignment horizontal="center" vertical="center"/>
    </xf>
    <xf numFmtId="0" fontId="6" fillId="57" borderId="14" xfId="0" applyFont="1" applyFill="1" applyBorder="1" applyAlignment="1">
      <alignment horizontal="center" vertical="center"/>
    </xf>
    <xf numFmtId="0" fontId="6" fillId="57" borderId="15" xfId="0" applyFont="1" applyFill="1" applyBorder="1" applyAlignment="1">
      <alignment horizontal="center" vertical="center"/>
    </xf>
    <xf numFmtId="0" fontId="6" fillId="57" borderId="16" xfId="0" applyFont="1" applyFill="1" applyBorder="1" applyAlignment="1">
      <alignment horizontal="center" vertical="center"/>
    </xf>
    <xf numFmtId="0" fontId="6" fillId="57" borderId="17" xfId="0" applyFont="1" applyFill="1" applyBorder="1" applyAlignment="1">
      <alignment horizontal="center" vertical="center"/>
    </xf>
    <xf numFmtId="0" fontId="6" fillId="57" borderId="2" xfId="0" applyFont="1" applyFill="1" applyBorder="1" applyAlignment="1">
      <alignment horizontal="center"/>
    </xf>
    <xf numFmtId="0" fontId="6" fillId="57" borderId="21" xfId="0" applyFont="1" applyFill="1" applyBorder="1" applyAlignment="1">
      <alignment horizontal="center"/>
    </xf>
    <xf numFmtId="0" fontId="6" fillId="57" borderId="22" xfId="0" applyFont="1" applyFill="1" applyBorder="1" applyAlignment="1">
      <alignment horizontal="center"/>
    </xf>
    <xf numFmtId="0" fontId="6" fillId="57" borderId="23" xfId="0" applyFont="1" applyFill="1" applyBorder="1" applyAlignment="1">
      <alignment horizontal="center"/>
    </xf>
    <xf numFmtId="0" fontId="6" fillId="57" borderId="14" xfId="0" applyFont="1" applyFill="1" applyBorder="1" applyAlignment="1">
      <alignment horizontal="center"/>
    </xf>
    <xf numFmtId="0" fontId="6" fillId="57" borderId="15" xfId="0" applyFont="1" applyFill="1" applyBorder="1" applyAlignment="1">
      <alignment horizontal="center"/>
    </xf>
    <xf numFmtId="0" fontId="6" fillId="57" borderId="16" xfId="0" applyFont="1" applyFill="1" applyBorder="1" applyAlignment="1">
      <alignment horizontal="center"/>
    </xf>
    <xf numFmtId="0" fontId="6" fillId="57" borderId="17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Border="1"/>
    <xf numFmtId="171" fontId="7" fillId="0" borderId="21" xfId="0" applyNumberFormat="1" applyFont="1" applyBorder="1" applyAlignment="1">
      <alignment horizontal="center" vertical="center"/>
    </xf>
    <xf numFmtId="171" fontId="7" fillId="0" borderId="22" xfId="0" applyNumberFormat="1" applyFont="1" applyBorder="1" applyAlignment="1">
      <alignment horizontal="center" vertical="center"/>
    </xf>
    <xf numFmtId="171" fontId="7" fillId="0" borderId="87" xfId="0" applyNumberFormat="1" applyFont="1" applyBorder="1" applyAlignment="1">
      <alignment horizontal="center" vertical="center"/>
    </xf>
    <xf numFmtId="171" fontId="7" fillId="0" borderId="13" xfId="0" applyNumberFormat="1" applyFont="1" applyBorder="1" applyAlignment="1">
      <alignment horizontal="center" vertical="center"/>
    </xf>
    <xf numFmtId="171" fontId="7" fillId="0" borderId="2" xfId="0" applyNumberFormat="1" applyFont="1" applyBorder="1" applyAlignment="1">
      <alignment horizontal="center" vertical="center"/>
    </xf>
    <xf numFmtId="171" fontId="7" fillId="0" borderId="5" xfId="0" applyNumberFormat="1" applyFont="1" applyBorder="1" applyAlignment="1">
      <alignment horizontal="center" vertical="center"/>
    </xf>
    <xf numFmtId="171" fontId="7" fillId="0" borderId="15" xfId="0" applyNumberFormat="1" applyFont="1" applyBorder="1" applyAlignment="1">
      <alignment horizontal="center" vertical="center"/>
    </xf>
    <xf numFmtId="171" fontId="7" fillId="0" borderId="16" xfId="0" applyNumberFormat="1" applyFont="1" applyBorder="1" applyAlignment="1">
      <alignment horizontal="center" vertical="center"/>
    </xf>
    <xf numFmtId="171" fontId="7" fillId="0" borderId="88" xfId="0" applyNumberFormat="1" applyFont="1" applyBorder="1" applyAlignment="1">
      <alignment horizontal="center" vertical="center"/>
    </xf>
    <xf numFmtId="0" fontId="55" fillId="0" borderId="0" xfId="0" applyFont="1" applyFill="1" applyBorder="1"/>
    <xf numFmtId="2" fontId="59" fillId="0" borderId="0" xfId="94" applyNumberFormat="1" applyFont="1" applyFill="1" applyBorder="1"/>
    <xf numFmtId="0" fontId="59" fillId="0" borderId="13" xfId="94" applyFont="1" applyFill="1" applyBorder="1" applyAlignment="1">
      <alignment horizontal="center" vertical="center" wrapText="1"/>
    </xf>
    <xf numFmtId="0" fontId="59" fillId="0" borderId="0" xfId="94" applyFont="1" applyFill="1" applyBorder="1" applyAlignment="1">
      <alignment horizontal="center" vertical="center" wrapText="1"/>
    </xf>
    <xf numFmtId="0" fontId="59" fillId="0" borderId="15" xfId="94" applyFont="1" applyFill="1" applyBorder="1" applyAlignment="1">
      <alignment horizontal="center" vertical="center" wrapText="1"/>
    </xf>
    <xf numFmtId="0" fontId="59" fillId="0" borderId="2" xfId="94" applyFont="1" applyFill="1" applyBorder="1" applyAlignment="1">
      <alignment horizontal="center" vertical="center" wrapText="1"/>
    </xf>
    <xf numFmtId="164" fontId="59" fillId="0" borderId="2" xfId="94" applyNumberFormat="1" applyFont="1" applyFill="1" applyBorder="1" applyAlignment="1">
      <alignment horizontal="center" vertical="center" wrapText="1"/>
    </xf>
    <xf numFmtId="0" fontId="59" fillId="0" borderId="13" xfId="94" applyFont="1" applyFill="1" applyBorder="1" applyAlignment="1">
      <alignment horizontal="right" vertical="center" wrapText="1"/>
    </xf>
    <xf numFmtId="0" fontId="59" fillId="0" borderId="14" xfId="94" applyFont="1" applyFill="1" applyBorder="1" applyAlignment="1">
      <alignment horizontal="center" vertical="center" wrapText="1"/>
    </xf>
    <xf numFmtId="164" fontId="59" fillId="0" borderId="14" xfId="94" applyNumberFormat="1" applyFont="1" applyFill="1" applyBorder="1" applyAlignment="1">
      <alignment horizontal="center" vertical="center" wrapText="1"/>
    </xf>
    <xf numFmtId="164" fontId="59" fillId="59" borderId="2" xfId="0" applyNumberFormat="1" applyFont="1" applyFill="1" applyBorder="1" applyAlignment="1" applyProtection="1">
      <alignment horizontal="center"/>
      <protection locked="0"/>
    </xf>
    <xf numFmtId="164" fontId="59" fillId="59" borderId="14" xfId="0" applyNumberFormat="1" applyFont="1" applyFill="1" applyBorder="1" applyAlignment="1" applyProtection="1">
      <alignment horizontal="center"/>
      <protection locked="0"/>
    </xf>
    <xf numFmtId="164" fontId="59" fillId="59" borderId="2" xfId="94" applyNumberFormat="1" applyFont="1" applyFill="1" applyBorder="1" applyAlignment="1">
      <alignment horizontal="center" vertical="center" wrapText="1"/>
    </xf>
    <xf numFmtId="164" fontId="59" fillId="59" borderId="14" xfId="94" applyNumberFormat="1" applyFont="1" applyFill="1" applyBorder="1" applyAlignment="1">
      <alignment horizontal="center" vertical="center" wrapText="1"/>
    </xf>
    <xf numFmtId="0" fontId="0" fillId="0" borderId="0" xfId="0" applyFont="1" applyFill="1"/>
    <xf numFmtId="0" fontId="59" fillId="0" borderId="21" xfId="94" applyFont="1" applyFill="1" applyBorder="1" applyAlignment="1">
      <alignment horizontal="center" vertical="center" wrapText="1"/>
    </xf>
    <xf numFmtId="2" fontId="91" fillId="0" borderId="0" xfId="94" applyNumberFormat="1" applyFont="1" applyFill="1" applyBorder="1"/>
    <xf numFmtId="2" fontId="91" fillId="0" borderId="0" xfId="94" applyNumberFormat="1" applyFont="1" applyBorder="1"/>
    <xf numFmtId="2" fontId="1" fillId="57" borderId="16" xfId="0" applyNumberFormat="1" applyFont="1" applyFill="1" applyBorder="1" applyAlignment="1">
      <alignment horizontal="center" vertical="center"/>
    </xf>
    <xf numFmtId="2" fontId="1" fillId="57" borderId="17" xfId="0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0" fontId="9" fillId="0" borderId="0" xfId="0" applyFont="1" applyFill="1" applyBorder="1"/>
    <xf numFmtId="0" fontId="59" fillId="0" borderId="0" xfId="94" applyFont="1" applyFill="1" applyBorder="1" applyAlignment="1">
      <alignment vertical="center" wrapText="1"/>
    </xf>
    <xf numFmtId="0" fontId="91" fillId="0" borderId="0" xfId="94" applyFont="1" applyFill="1"/>
    <xf numFmtId="2" fontId="90" fillId="0" borderId="0" xfId="94" applyNumberFormat="1" applyFont="1" applyFill="1" applyBorder="1" applyAlignment="1">
      <alignment horizontal="center" vertical="center" wrapText="1"/>
    </xf>
    <xf numFmtId="171" fontId="7" fillId="59" borderId="21" xfId="0" applyNumberFormat="1" applyFont="1" applyFill="1" applyBorder="1" applyAlignment="1">
      <alignment horizontal="center" vertical="center"/>
    </xf>
    <xf numFmtId="171" fontId="7" fillId="59" borderId="22" xfId="0" applyNumberFormat="1" applyFont="1" applyFill="1" applyBorder="1" applyAlignment="1">
      <alignment horizontal="center" vertical="center"/>
    </xf>
    <xf numFmtId="171" fontId="7" fillId="59" borderId="23" xfId="0" applyNumberFormat="1" applyFont="1" applyFill="1" applyBorder="1" applyAlignment="1">
      <alignment horizontal="center" vertical="center"/>
    </xf>
    <xf numFmtId="171" fontId="7" fillId="59" borderId="13" xfId="0" applyNumberFormat="1" applyFont="1" applyFill="1" applyBorder="1" applyAlignment="1">
      <alignment horizontal="center" vertical="center"/>
    </xf>
    <xf numFmtId="171" fontId="7" fillId="59" borderId="2" xfId="0" applyNumberFormat="1" applyFont="1" applyFill="1" applyBorder="1" applyAlignment="1">
      <alignment horizontal="center" vertical="center"/>
    </xf>
    <xf numFmtId="171" fontId="7" fillId="59" borderId="14" xfId="0" applyNumberFormat="1" applyFont="1" applyFill="1" applyBorder="1" applyAlignment="1">
      <alignment horizontal="center" vertical="center"/>
    </xf>
    <xf numFmtId="171" fontId="7" fillId="59" borderId="15" xfId="0" applyNumberFormat="1" applyFont="1" applyFill="1" applyBorder="1" applyAlignment="1">
      <alignment horizontal="center" vertical="center"/>
    </xf>
    <xf numFmtId="171" fontId="7" fillId="59" borderId="16" xfId="0" applyNumberFormat="1" applyFont="1" applyFill="1" applyBorder="1" applyAlignment="1">
      <alignment horizontal="center" vertical="center"/>
    </xf>
    <xf numFmtId="171" fontId="7" fillId="59" borderId="17" xfId="0" applyNumberFormat="1" applyFont="1" applyFill="1" applyBorder="1" applyAlignment="1">
      <alignment horizontal="center" vertical="center"/>
    </xf>
    <xf numFmtId="0" fontId="7" fillId="59" borderId="21" xfId="0" applyFont="1" applyFill="1" applyBorder="1" applyAlignment="1">
      <alignment horizontal="center"/>
    </xf>
    <xf numFmtId="0" fontId="7" fillId="59" borderId="22" xfId="0" applyFont="1" applyFill="1" applyBorder="1" applyAlignment="1">
      <alignment horizontal="center"/>
    </xf>
    <xf numFmtId="0" fontId="7" fillId="59" borderId="87" xfId="0" applyFont="1" applyFill="1" applyBorder="1" applyAlignment="1">
      <alignment horizontal="center"/>
    </xf>
    <xf numFmtId="0" fontId="7" fillId="59" borderId="13" xfId="0" applyFont="1" applyFill="1" applyBorder="1" applyAlignment="1">
      <alignment horizontal="center"/>
    </xf>
    <xf numFmtId="0" fontId="7" fillId="59" borderId="2" xfId="0" applyFont="1" applyFill="1" applyBorder="1" applyAlignment="1">
      <alignment horizontal="center"/>
    </xf>
    <xf numFmtId="0" fontId="7" fillId="59" borderId="5" xfId="0" applyFont="1" applyFill="1" applyBorder="1" applyAlignment="1">
      <alignment horizontal="center"/>
    </xf>
    <xf numFmtId="0" fontId="7" fillId="59" borderId="15" xfId="0" applyFont="1" applyFill="1" applyBorder="1" applyAlignment="1">
      <alignment horizontal="center"/>
    </xf>
    <xf numFmtId="0" fontId="7" fillId="59" borderId="16" xfId="0" applyFont="1" applyFill="1" applyBorder="1" applyAlignment="1">
      <alignment horizontal="center"/>
    </xf>
    <xf numFmtId="0" fontId="7" fillId="59" borderId="88" xfId="0" applyFont="1" applyFill="1" applyBorder="1" applyAlignment="1">
      <alignment horizontal="center"/>
    </xf>
    <xf numFmtId="2" fontId="59" fillId="0" borderId="0" xfId="94" applyNumberFormat="1" applyFont="1" applyBorder="1"/>
    <xf numFmtId="0" fontId="59" fillId="0" borderId="0" xfId="94" applyFont="1"/>
    <xf numFmtId="0" fontId="89" fillId="0" borderId="21" xfId="94" applyFont="1" applyFill="1" applyBorder="1" applyAlignment="1">
      <alignment horizontal="center" vertical="center" wrapText="1"/>
    </xf>
    <xf numFmtId="0" fontId="0" fillId="0" borderId="46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8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/>
    <xf numFmtId="0" fontId="91" fillId="0" borderId="0" xfId="94" applyFont="1"/>
    <xf numFmtId="0" fontId="0" fillId="49" borderId="0" xfId="0" applyFont="1" applyFill="1"/>
    <xf numFmtId="164" fontId="91" fillId="0" borderId="0" xfId="94" applyNumberFormat="1" applyFont="1" applyBorder="1"/>
    <xf numFmtId="164" fontId="91" fillId="0" borderId="0" xfId="94" applyNumberFormat="1" applyFont="1" applyFill="1" applyBorder="1" applyAlignment="1">
      <alignment horizontal="right"/>
    </xf>
    <xf numFmtId="164" fontId="91" fillId="0" borderId="0" xfId="94" applyNumberFormat="1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164" fontId="91" fillId="0" borderId="0" xfId="94" applyNumberFormat="1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46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 applyAlignment="1"/>
    <xf numFmtId="171" fontId="0" fillId="0" borderId="0" xfId="0" applyNumberFormat="1" applyBorder="1"/>
    <xf numFmtId="2" fontId="0" fillId="0" borderId="0" xfId="0" applyNumberFormat="1" applyBorder="1"/>
    <xf numFmtId="0" fontId="0" fillId="0" borderId="59" xfId="0" applyBorder="1"/>
    <xf numFmtId="0" fontId="4" fillId="0" borderId="1" xfId="0" applyFont="1" applyBorder="1" applyAlignment="1">
      <alignment horizontal="left"/>
    </xf>
    <xf numFmtId="2" fontId="50" fillId="0" borderId="22" xfId="83" applyNumberFormat="1" applyFont="1" applyFill="1" applyBorder="1" applyAlignment="1">
      <alignment horizontal="center" vertical="center"/>
    </xf>
    <xf numFmtId="2" fontId="50" fillId="0" borderId="23" xfId="83" applyNumberFormat="1" applyFont="1" applyFill="1" applyBorder="1" applyAlignment="1">
      <alignment horizontal="center" vertical="center"/>
    </xf>
    <xf numFmtId="0" fontId="49" fillId="0" borderId="22" xfId="83" applyFont="1" applyFill="1" applyBorder="1" applyAlignment="1">
      <alignment horizontal="center" vertical="center"/>
    </xf>
    <xf numFmtId="164" fontId="50" fillId="0" borderId="23" xfId="83" applyNumberFormat="1" applyFont="1" applyFill="1" applyBorder="1" applyAlignment="1">
      <alignment horizontal="center" vertical="center"/>
    </xf>
    <xf numFmtId="2" fontId="50" fillId="0" borderId="2" xfId="83" applyNumberFormat="1" applyFont="1" applyFill="1" applyBorder="1" applyAlignment="1">
      <alignment horizontal="center" vertical="center"/>
    </xf>
    <xf numFmtId="2" fontId="50" fillId="0" borderId="14" xfId="83" applyNumberFormat="1" applyFont="1" applyFill="1" applyBorder="1" applyAlignment="1">
      <alignment horizontal="center" vertical="center"/>
    </xf>
    <xf numFmtId="0" fontId="49" fillId="0" borderId="2" xfId="83" applyFont="1" applyFill="1" applyBorder="1" applyAlignment="1">
      <alignment horizontal="center" vertical="center"/>
    </xf>
    <xf numFmtId="164" fontId="50" fillId="0" borderId="17" xfId="83" applyNumberFormat="1" applyFont="1" applyFill="1" applyBorder="1" applyAlignment="1">
      <alignment horizontal="center" vertical="center"/>
    </xf>
    <xf numFmtId="2" fontId="50" fillId="0" borderId="16" xfId="83" applyNumberFormat="1" applyFont="1" applyFill="1" applyBorder="1" applyAlignment="1">
      <alignment horizontal="center" vertical="center"/>
    </xf>
    <xf numFmtId="2" fontId="50" fillId="0" borderId="17" xfId="83" applyNumberFormat="1" applyFont="1" applyFill="1" applyBorder="1" applyAlignment="1">
      <alignment horizontal="center" vertical="center"/>
    </xf>
    <xf numFmtId="0" fontId="49" fillId="0" borderId="16" xfId="83" applyFont="1" applyFill="1" applyBorder="1" applyAlignment="1">
      <alignment horizontal="center" vertical="center"/>
    </xf>
    <xf numFmtId="0" fontId="49" fillId="59" borderId="22" xfId="83" applyFont="1" applyFill="1" applyBorder="1" applyAlignment="1">
      <alignment horizontal="center" vertical="center"/>
    </xf>
    <xf numFmtId="0" fontId="49" fillId="59" borderId="23" xfId="83" applyFont="1" applyFill="1" applyBorder="1" applyAlignment="1">
      <alignment horizontal="center" vertical="center"/>
    </xf>
    <xf numFmtId="0" fontId="49" fillId="59" borderId="2" xfId="83" applyFont="1" applyFill="1" applyBorder="1" applyAlignment="1">
      <alignment horizontal="center" vertical="center"/>
    </xf>
    <xf numFmtId="0" fontId="49" fillId="59" borderId="14" xfId="83" applyFont="1" applyFill="1" applyBorder="1" applyAlignment="1">
      <alignment horizontal="center" vertical="center"/>
    </xf>
    <xf numFmtId="0" fontId="49" fillId="59" borderId="66" xfId="83" applyFont="1" applyFill="1" applyBorder="1" applyAlignment="1">
      <alignment horizontal="center" vertical="center"/>
    </xf>
    <xf numFmtId="0" fontId="49" fillId="59" borderId="67" xfId="83" applyFont="1" applyFill="1" applyBorder="1" applyAlignment="1">
      <alignment horizontal="center" vertical="center"/>
    </xf>
    <xf numFmtId="0" fontId="49" fillId="59" borderId="16" xfId="83" applyFont="1" applyFill="1" applyBorder="1" applyAlignment="1">
      <alignment horizontal="center" vertical="center"/>
    </xf>
    <xf numFmtId="0" fontId="49" fillId="59" borderId="17" xfId="83" applyFont="1" applyFill="1" applyBorder="1" applyAlignment="1">
      <alignment horizontal="center" vertical="center"/>
    </xf>
    <xf numFmtId="2" fontId="49" fillId="59" borderId="22" xfId="83" applyNumberFormat="1" applyFont="1" applyFill="1" applyBorder="1" applyAlignment="1">
      <alignment horizontal="center" vertical="center"/>
    </xf>
    <xf numFmtId="2" fontId="49" fillId="59" borderId="23" xfId="83" applyNumberFormat="1" applyFont="1" applyFill="1" applyBorder="1" applyAlignment="1">
      <alignment horizontal="center" vertical="center"/>
    </xf>
    <xf numFmtId="2" fontId="49" fillId="59" borderId="2" xfId="83" applyNumberFormat="1" applyFont="1" applyFill="1" applyBorder="1" applyAlignment="1">
      <alignment horizontal="center" vertical="center"/>
    </xf>
    <xf numFmtId="2" fontId="49" fillId="59" borderId="14" xfId="83" applyNumberFormat="1" applyFont="1" applyFill="1" applyBorder="1" applyAlignment="1">
      <alignment horizontal="center" vertical="center"/>
    </xf>
    <xf numFmtId="2" fontId="49" fillId="59" borderId="16" xfId="83" applyNumberFormat="1" applyFont="1" applyFill="1" applyBorder="1" applyAlignment="1">
      <alignment horizontal="center" vertical="center"/>
    </xf>
    <xf numFmtId="2" fontId="49" fillId="59" borderId="17" xfId="83" applyNumberFormat="1" applyFont="1" applyFill="1" applyBorder="1" applyAlignment="1">
      <alignment horizontal="center" vertical="center"/>
    </xf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71" fontId="0" fillId="0" borderId="1" xfId="0" applyNumberFormat="1" applyBorder="1"/>
    <xf numFmtId="164" fontId="0" fillId="0" borderId="0" xfId="0" applyNumberFormat="1" applyBorder="1"/>
    <xf numFmtId="164" fontId="0" fillId="0" borderId="69" xfId="0" applyNumberFormat="1" applyBorder="1"/>
    <xf numFmtId="2" fontId="0" fillId="0" borderId="1" xfId="0" applyNumberFormat="1" applyBorder="1"/>
    <xf numFmtId="2" fontId="85" fillId="0" borderId="0" xfId="0" applyNumberFormat="1" applyFont="1" applyBorder="1"/>
    <xf numFmtId="2" fontId="1" fillId="0" borderId="0" xfId="0" applyNumberFormat="1" applyFont="1" applyBorder="1"/>
    <xf numFmtId="2" fontId="0" fillId="0" borderId="0" xfId="0" applyNumberFormat="1" applyFont="1" applyBorder="1"/>
    <xf numFmtId="0" fontId="0" fillId="0" borderId="0" xfId="0" applyBorder="1" applyAlignment="1">
      <alignment horizontal="left"/>
    </xf>
    <xf numFmtId="0" fontId="0" fillId="0" borderId="69" xfId="0" applyFill="1" applyBorder="1" applyAlignment="1"/>
    <xf numFmtId="0" fontId="81" fillId="0" borderId="9" xfId="0" applyFont="1" applyBorder="1"/>
    <xf numFmtId="0" fontId="0" fillId="0" borderId="69" xfId="0" applyBorder="1" applyAlignment="1">
      <alignment horizontal="left"/>
    </xf>
    <xf numFmtId="2" fontId="0" fillId="57" borderId="69" xfId="0" applyNumberFormat="1" applyFill="1" applyBorder="1"/>
    <xf numFmtId="2" fontId="0" fillId="57" borderId="10" xfId="0" applyNumberFormat="1" applyFill="1" applyBorder="1"/>
    <xf numFmtId="164" fontId="1" fillId="0" borderId="0" xfId="0" applyNumberFormat="1" applyFont="1" applyBorder="1"/>
    <xf numFmtId="164" fontId="0" fillId="57" borderId="0" xfId="0" applyNumberFormat="1" applyFill="1" applyBorder="1"/>
    <xf numFmtId="164" fontId="0" fillId="0" borderId="0" xfId="0" applyNumberFormat="1" applyFont="1" applyBorder="1"/>
    <xf numFmtId="2" fontId="1" fillId="0" borderId="0" xfId="0" applyNumberFormat="1" applyFont="1"/>
    <xf numFmtId="164" fontId="0" fillId="0" borderId="10" xfId="0" applyNumberFormat="1" applyBorder="1"/>
    <xf numFmtId="164" fontId="0" fillId="57" borderId="1" xfId="0" applyNumberFormat="1" applyFill="1" applyBorder="1"/>
    <xf numFmtId="164" fontId="62" fillId="54" borderId="73" xfId="0" applyNumberFormat="1" applyFont="1" applyFill="1" applyBorder="1" applyAlignment="1" applyProtection="1">
      <alignment horizontal="center" vertical="center"/>
      <protection locked="0"/>
    </xf>
    <xf numFmtId="164" fontId="62" fillId="54" borderId="0" xfId="0" applyNumberFormat="1" applyFont="1" applyFill="1" applyBorder="1" applyAlignment="1" applyProtection="1">
      <alignment horizontal="center" vertical="center"/>
      <protection locked="0"/>
    </xf>
    <xf numFmtId="164" fontId="62" fillId="54" borderId="65" xfId="0" applyNumberFormat="1" applyFont="1" applyFill="1" applyBorder="1" applyAlignment="1" applyProtection="1">
      <alignment horizontal="center" vertical="center"/>
      <protection locked="0"/>
    </xf>
    <xf numFmtId="172" fontId="62" fillId="0" borderId="74" xfId="0" applyNumberFormat="1" applyFont="1" applyBorder="1" applyAlignment="1">
      <alignment horizontal="center"/>
    </xf>
    <xf numFmtId="164" fontId="62" fillId="54" borderId="70" xfId="0" applyNumberFormat="1" applyFont="1" applyFill="1" applyBorder="1" applyAlignment="1" applyProtection="1">
      <alignment horizontal="center" vertical="center"/>
      <protection locked="0"/>
    </xf>
    <xf numFmtId="0" fontId="85" fillId="58" borderId="0" xfId="0" applyFont="1" applyFill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9" fillId="0" borderId="0" xfId="94" applyFont="1" applyFill="1" applyBorder="1" applyAlignment="1">
      <alignment horizontal="center" vertical="center" wrapText="1"/>
    </xf>
    <xf numFmtId="0" fontId="92" fillId="0" borderId="22" xfId="94" applyFont="1" applyFill="1" applyBorder="1" applyAlignment="1">
      <alignment horizontal="center" vertical="center" wrapText="1"/>
    </xf>
    <xf numFmtId="0" fontId="92" fillId="0" borderId="23" xfId="94" applyFont="1" applyFill="1" applyBorder="1" applyAlignment="1">
      <alignment horizontal="center" vertical="center" wrapText="1"/>
    </xf>
    <xf numFmtId="0" fontId="59" fillId="0" borderId="13" xfId="94" applyFont="1" applyFill="1" applyBorder="1" applyAlignment="1">
      <alignment horizontal="center" vertical="center" wrapText="1"/>
    </xf>
    <xf numFmtId="0" fontId="88" fillId="0" borderId="21" xfId="0" applyFont="1" applyBorder="1" applyAlignment="1">
      <alignment horizontal="center"/>
    </xf>
    <xf numFmtId="0" fontId="88" fillId="0" borderId="22" xfId="0" applyFont="1" applyBorder="1" applyAlignment="1">
      <alignment horizontal="center"/>
    </xf>
    <xf numFmtId="0" fontId="88" fillId="0" borderId="23" xfId="0" applyFont="1" applyBorder="1" applyAlignment="1">
      <alignment horizontal="center"/>
    </xf>
    <xf numFmtId="0" fontId="88" fillId="0" borderId="77" xfId="0" applyFont="1" applyBorder="1" applyAlignment="1">
      <alignment horizontal="center"/>
    </xf>
    <xf numFmtId="0" fontId="88" fillId="0" borderId="87" xfId="0" applyFont="1" applyBorder="1" applyAlignment="1">
      <alignment horizontal="center"/>
    </xf>
    <xf numFmtId="0" fontId="4" fillId="0" borderId="77" xfId="0" applyFont="1" applyBorder="1" applyAlignment="1">
      <alignment horizontal="center"/>
    </xf>
    <xf numFmtId="0" fontId="4" fillId="0" borderId="87" xfId="0" applyFont="1" applyBorder="1" applyAlignment="1">
      <alignment horizontal="center"/>
    </xf>
    <xf numFmtId="0" fontId="81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5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0" fillId="0" borderId="58" xfId="83" applyFont="1" applyBorder="1" applyAlignment="1">
      <alignment horizontal="center" vertical="center"/>
    </xf>
    <xf numFmtId="0" fontId="49" fillId="0" borderId="42" xfId="83" applyFont="1" applyBorder="1" applyAlignment="1">
      <alignment horizontal="center" vertical="center" wrapText="1"/>
    </xf>
    <xf numFmtId="0" fontId="49" fillId="0" borderId="45" xfId="83" applyFont="1" applyBorder="1" applyAlignment="1">
      <alignment horizontal="center" vertical="center" wrapText="1"/>
    </xf>
    <xf numFmtId="0" fontId="49" fillId="0" borderId="43" xfId="83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50" fillId="0" borderId="1" xfId="83" applyFont="1" applyBorder="1" applyAlignment="1">
      <alignment horizontal="center" vertical="center" wrapText="1"/>
    </xf>
    <xf numFmtId="0" fontId="49" fillId="0" borderId="1" xfId="83" applyFont="1" applyFill="1" applyBorder="1" applyAlignment="1">
      <alignment horizontal="center"/>
    </xf>
    <xf numFmtId="2" fontId="50" fillId="0" borderId="1" xfId="83" applyNumberFormat="1" applyFont="1" applyBorder="1" applyAlignment="1">
      <alignment horizontal="center"/>
    </xf>
    <xf numFmtId="0" fontId="50" fillId="0" borderId="1" xfId="83" applyFont="1" applyBorder="1" applyAlignment="1">
      <alignment horizontal="center" wrapText="1"/>
    </xf>
    <xf numFmtId="0" fontId="50" fillId="0" borderId="1" xfId="83" applyFont="1" applyBorder="1" applyAlignment="1">
      <alignment horizontal="center" vertical="center"/>
    </xf>
    <xf numFmtId="0" fontId="49" fillId="0" borderId="21" xfId="83" applyFont="1" applyBorder="1" applyAlignment="1">
      <alignment horizontal="center" vertical="center" wrapText="1"/>
    </xf>
    <xf numFmtId="0" fontId="49" fillId="0" borderId="13" xfId="83" applyFont="1" applyBorder="1" applyAlignment="1">
      <alignment horizontal="center" vertical="center" wrapText="1"/>
    </xf>
    <xf numFmtId="0" fontId="49" fillId="0" borderId="15" xfId="83" applyFont="1" applyBorder="1" applyAlignment="1">
      <alignment horizontal="center" vertical="center" wrapText="1"/>
    </xf>
    <xf numFmtId="0" fontId="49" fillId="0" borderId="21" xfId="83" applyFont="1" applyFill="1" applyBorder="1" applyAlignment="1">
      <alignment horizontal="center" vertical="center" wrapText="1"/>
    </xf>
    <xf numFmtId="0" fontId="49" fillId="0" borderId="13" xfId="83" applyFont="1" applyFill="1" applyBorder="1" applyAlignment="1">
      <alignment horizontal="center" vertical="center" wrapText="1"/>
    </xf>
    <xf numFmtId="0" fontId="49" fillId="0" borderId="15" xfId="83" applyFont="1" applyFill="1" applyBorder="1" applyAlignment="1">
      <alignment horizontal="center" vertical="center" wrapText="1"/>
    </xf>
    <xf numFmtId="0" fontId="49" fillId="0" borderId="1" xfId="83" applyFont="1" applyBorder="1" applyAlignment="1">
      <alignment horizontal="left" vertical="center"/>
    </xf>
    <xf numFmtId="0" fontId="7" fillId="0" borderId="6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60" xfId="0" applyFont="1" applyBorder="1" applyAlignment="1">
      <alignment horizontal="center" vertical="center" wrapText="1"/>
    </xf>
    <xf numFmtId="0" fontId="7" fillId="0" borderId="61" xfId="0" applyFont="1" applyBorder="1" applyAlignment="1">
      <alignment horizontal="center" vertical="center" wrapText="1"/>
    </xf>
    <xf numFmtId="0" fontId="7" fillId="0" borderId="6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0" xfId="0" applyAlignment="1">
      <alignment horizontal="center"/>
    </xf>
    <xf numFmtId="10" fontId="7" fillId="0" borderId="3" xfId="0" applyNumberFormat="1" applyFont="1" applyBorder="1" applyAlignment="1">
      <alignment horizontal="center" vertical="center"/>
    </xf>
    <xf numFmtId="10" fontId="7" fillId="0" borderId="2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80" fillId="0" borderId="5" xfId="0" applyFont="1" applyBorder="1" applyAlignment="1">
      <alignment horizontal="center"/>
    </xf>
    <xf numFmtId="0" fontId="80" fillId="0" borderId="85" xfId="0" applyFont="1" applyBorder="1" applyAlignment="1">
      <alignment horizontal="center"/>
    </xf>
    <xf numFmtId="164" fontId="81" fillId="0" borderId="66" xfId="0" applyNumberFormat="1" applyFont="1" applyBorder="1" applyAlignment="1">
      <alignment horizontal="center" vertical="center"/>
    </xf>
    <xf numFmtId="164" fontId="81" fillId="0" borderId="73" xfId="0" applyNumberFormat="1" applyFont="1" applyBorder="1" applyAlignment="1">
      <alignment horizontal="center" vertical="center"/>
    </xf>
    <xf numFmtId="164" fontId="81" fillId="0" borderId="3" xfId="0" applyNumberFormat="1" applyFont="1" applyBorder="1" applyAlignment="1">
      <alignment horizontal="center" vertical="center"/>
    </xf>
    <xf numFmtId="0" fontId="80" fillId="0" borderId="2" xfId="0" applyFont="1" applyBorder="1" applyAlignment="1">
      <alignment horizontal="center"/>
    </xf>
    <xf numFmtId="0" fontId="81" fillId="0" borderId="2" xfId="0" applyFont="1" applyBorder="1" applyAlignment="1">
      <alignment horizontal="center"/>
    </xf>
    <xf numFmtId="0" fontId="79" fillId="0" borderId="2" xfId="98" applyBorder="1" applyAlignment="1">
      <alignment horizontal="center"/>
    </xf>
    <xf numFmtId="0" fontId="80" fillId="0" borderId="2" xfId="0" applyFont="1" applyBorder="1" applyAlignment="1">
      <alignment horizontal="center" vertical="center"/>
    </xf>
    <xf numFmtId="164" fontId="82" fillId="54" borderId="66" xfId="0" applyNumberFormat="1" applyFont="1" applyFill="1" applyBorder="1" applyAlignment="1" applyProtection="1">
      <alignment horizontal="center" vertical="center" wrapText="1"/>
      <protection locked="0"/>
    </xf>
    <xf numFmtId="164" fontId="82" fillId="54" borderId="73" xfId="0" applyNumberFormat="1" applyFont="1" applyFill="1" applyBorder="1" applyAlignment="1" applyProtection="1">
      <alignment horizontal="center" vertical="center" wrapText="1"/>
      <protection locked="0"/>
    </xf>
    <xf numFmtId="164" fontId="82" fillId="54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69" xfId="0" applyFont="1" applyBorder="1" applyAlignment="1">
      <alignment horizontal="center" vertical="center"/>
    </xf>
    <xf numFmtId="0" fontId="81" fillId="0" borderId="5" xfId="0" applyFont="1" applyBorder="1" applyAlignment="1">
      <alignment horizontal="center"/>
    </xf>
    <xf numFmtId="0" fontId="81" fillId="0" borderId="85" xfId="0" applyFont="1" applyBorder="1" applyAlignment="1">
      <alignment horizontal="center"/>
    </xf>
    <xf numFmtId="164" fontId="82" fillId="54" borderId="5" xfId="0" applyNumberFormat="1" applyFont="1" applyFill="1" applyBorder="1" applyAlignment="1" applyProtection="1">
      <alignment horizontal="center"/>
      <protection locked="0"/>
    </xf>
    <xf numFmtId="164" fontId="82" fillId="54" borderId="85" xfId="0" applyNumberFormat="1" applyFont="1" applyFill="1" applyBorder="1" applyAlignment="1" applyProtection="1">
      <alignment horizontal="center"/>
      <protection locked="0"/>
    </xf>
    <xf numFmtId="164" fontId="82" fillId="54" borderId="66" xfId="0" applyNumberFormat="1" applyFont="1" applyFill="1" applyBorder="1" applyAlignment="1" applyProtection="1">
      <alignment horizontal="center" vertical="center"/>
      <protection locked="0"/>
    </xf>
    <xf numFmtId="164" fontId="82" fillId="54" borderId="73" xfId="0" applyNumberFormat="1" applyFont="1" applyFill="1" applyBorder="1" applyAlignment="1" applyProtection="1">
      <alignment horizontal="center" vertical="center"/>
      <protection locked="0"/>
    </xf>
    <xf numFmtId="164" fontId="82" fillId="54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/>
    </xf>
    <xf numFmtId="0" fontId="0" fillId="0" borderId="85" xfId="0" applyBorder="1" applyAlignment="1">
      <alignment horizontal="center"/>
    </xf>
    <xf numFmtId="0" fontId="62" fillId="49" borderId="44" xfId="0" applyFont="1" applyFill="1" applyBorder="1" applyAlignment="1" applyProtection="1">
      <alignment horizontal="center"/>
      <protection locked="0"/>
    </xf>
    <xf numFmtId="0" fontId="62" fillId="49" borderId="48" xfId="0" applyFont="1" applyFill="1" applyBorder="1" applyAlignment="1" applyProtection="1">
      <alignment horizontal="center"/>
      <protection locked="0"/>
    </xf>
    <xf numFmtId="0" fontId="63" fillId="53" borderId="56" xfId="0" applyFont="1" applyFill="1" applyBorder="1" applyAlignment="1">
      <alignment horizontal="center"/>
    </xf>
    <xf numFmtId="0" fontId="63" fillId="53" borderId="58" xfId="0" applyFont="1" applyFill="1" applyBorder="1" applyAlignment="1">
      <alignment horizontal="center"/>
    </xf>
    <xf numFmtId="0" fontId="63" fillId="53" borderId="57" xfId="0" applyFont="1" applyFill="1" applyBorder="1" applyAlignment="1">
      <alignment horizontal="center"/>
    </xf>
    <xf numFmtId="0" fontId="61" fillId="49" borderId="59" xfId="0" applyFont="1" applyFill="1" applyBorder="1" applyAlignment="1">
      <alignment horizontal="right" vertical="center"/>
    </xf>
    <xf numFmtId="0" fontId="63" fillId="52" borderId="6" xfId="0" applyFont="1" applyFill="1" applyBorder="1" applyAlignment="1" applyProtection="1">
      <alignment horizontal="center"/>
      <protection locked="0"/>
    </xf>
    <xf numFmtId="0" fontId="63" fillId="52" borderId="7" xfId="0" applyFont="1" applyFill="1" applyBorder="1" applyAlignment="1" applyProtection="1">
      <alignment horizontal="center"/>
      <protection locked="0"/>
    </xf>
    <xf numFmtId="0" fontId="63" fillId="52" borderId="8" xfId="0" applyFont="1" applyFill="1" applyBorder="1" applyAlignment="1" applyProtection="1">
      <alignment horizontal="center"/>
      <protection locked="0"/>
    </xf>
    <xf numFmtId="0" fontId="61" fillId="53" borderId="56" xfId="0" applyFont="1" applyFill="1" applyBorder="1" applyAlignment="1">
      <alignment horizontal="center"/>
    </xf>
    <xf numFmtId="0" fontId="61" fillId="53" borderId="58" xfId="0" applyFont="1" applyFill="1" applyBorder="1" applyAlignment="1">
      <alignment horizontal="center"/>
    </xf>
    <xf numFmtId="0" fontId="61" fillId="53" borderId="57" xfId="0" applyFont="1" applyFill="1" applyBorder="1" applyAlignment="1">
      <alignment horizontal="center"/>
    </xf>
    <xf numFmtId="0" fontId="62" fillId="49" borderId="42" xfId="0" applyFont="1" applyFill="1" applyBorder="1" applyAlignment="1">
      <alignment horizontal="center" vertical="center" wrapText="1"/>
    </xf>
    <xf numFmtId="0" fontId="62" fillId="49" borderId="45" xfId="0" applyFont="1" applyFill="1" applyBorder="1" applyAlignment="1">
      <alignment horizontal="center" vertical="center" wrapText="1"/>
    </xf>
    <xf numFmtId="0" fontId="62" fillId="49" borderId="11" xfId="0" applyFont="1" applyFill="1" applyBorder="1" applyAlignment="1">
      <alignment horizontal="center" vertical="center" wrapText="1"/>
    </xf>
    <xf numFmtId="0" fontId="61" fillId="49" borderId="45" xfId="0" applyFont="1" applyFill="1" applyBorder="1" applyAlignment="1">
      <alignment horizontal="right" vertical="center"/>
    </xf>
    <xf numFmtId="0" fontId="63" fillId="52" borderId="6" xfId="0" applyFont="1" applyFill="1" applyBorder="1" applyAlignment="1">
      <alignment horizontal="center"/>
    </xf>
    <xf numFmtId="0" fontId="63" fillId="52" borderId="7" xfId="0" applyFont="1" applyFill="1" applyBorder="1" applyAlignment="1">
      <alignment horizontal="center"/>
    </xf>
    <xf numFmtId="0" fontId="63" fillId="52" borderId="8" xfId="0" applyFont="1" applyFill="1" applyBorder="1" applyAlignment="1">
      <alignment horizontal="center"/>
    </xf>
    <xf numFmtId="0" fontId="62" fillId="49" borderId="64" xfId="0" applyFont="1" applyFill="1" applyBorder="1" applyAlignment="1">
      <alignment horizontal="center" vertical="center"/>
    </xf>
    <xf numFmtId="0" fontId="62" fillId="49" borderId="45" xfId="0" applyFont="1" applyFill="1" applyBorder="1" applyAlignment="1">
      <alignment horizontal="center" vertical="center"/>
    </xf>
    <xf numFmtId="0" fontId="62" fillId="49" borderId="1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94" fillId="0" borderId="0" xfId="0" applyFont="1" applyAlignment="1">
      <alignment horizontal="center" vertical="center"/>
    </xf>
    <xf numFmtId="2" fontId="0" fillId="60" borderId="2" xfId="0" applyNumberFormat="1" applyFont="1" applyFill="1" applyBorder="1" applyAlignment="1">
      <alignment horizontal="center" vertical="center" wrapText="1"/>
    </xf>
    <xf numFmtId="2" fontId="0" fillId="61" borderId="2" xfId="0" applyNumberFormat="1" applyFont="1" applyFill="1" applyBorder="1" applyAlignment="1">
      <alignment horizontal="center" vertical="center" wrapText="1"/>
    </xf>
    <xf numFmtId="0" fontId="85" fillId="0" borderId="0" xfId="0" applyFont="1"/>
    <xf numFmtId="0" fontId="3" fillId="0" borderId="13" xfId="0" applyFont="1" applyBorder="1" applyAlignment="1">
      <alignment horizontal="center" wrapText="1"/>
    </xf>
    <xf numFmtId="0" fontId="3" fillId="59" borderId="13" xfId="0" applyFont="1" applyFill="1" applyBorder="1" applyAlignment="1">
      <alignment horizontal="center" wrapText="1"/>
    </xf>
    <xf numFmtId="0" fontId="3" fillId="59" borderId="15" xfId="0" applyFont="1" applyFill="1" applyBorder="1" applyAlignment="1">
      <alignment horizontal="center" wrapText="1"/>
    </xf>
    <xf numFmtId="0" fontId="3" fillId="0" borderId="85" xfId="0" applyFont="1" applyBorder="1" applyAlignment="1">
      <alignment horizontal="center" wrapText="1"/>
    </xf>
    <xf numFmtId="0" fontId="3" fillId="59" borderId="85" xfId="0" applyFont="1" applyFill="1" applyBorder="1" applyAlignment="1">
      <alignment horizontal="center" wrapText="1"/>
    </xf>
    <xf numFmtId="0" fontId="3" fillId="59" borderId="89" xfId="0" applyFont="1" applyFill="1" applyBorder="1" applyAlignment="1">
      <alignment horizontal="center" wrapText="1"/>
    </xf>
    <xf numFmtId="0" fontId="0" fillId="0" borderId="46" xfId="0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2" fontId="1" fillId="57" borderId="14" xfId="0" applyNumberFormat="1" applyFont="1" applyFill="1" applyBorder="1" applyAlignment="1">
      <alignment horizontal="center" vertical="center"/>
    </xf>
    <xf numFmtId="164" fontId="0" fillId="59" borderId="13" xfId="0" applyNumberFormat="1" applyFont="1" applyFill="1" applyBorder="1" applyAlignment="1">
      <alignment horizontal="center"/>
    </xf>
    <xf numFmtId="164" fontId="0" fillId="2" borderId="13" xfId="0" applyNumberFormat="1" applyFont="1" applyFill="1" applyBorder="1" applyAlignment="1">
      <alignment horizontal="center"/>
    </xf>
    <xf numFmtId="164" fontId="0" fillId="51" borderId="13" xfId="0" applyNumberFormat="1" applyFont="1" applyFill="1" applyBorder="1" applyAlignment="1">
      <alignment horizontal="center"/>
    </xf>
    <xf numFmtId="164" fontId="0" fillId="2" borderId="15" xfId="0" applyNumberFormat="1" applyFont="1" applyFill="1" applyBorder="1" applyAlignment="1">
      <alignment horizontal="center"/>
    </xf>
    <xf numFmtId="164" fontId="0" fillId="51" borderId="15" xfId="0" applyNumberFormat="1" applyFont="1" applyFill="1" applyBorder="1" applyAlignment="1">
      <alignment horizontal="center"/>
    </xf>
    <xf numFmtId="164" fontId="0" fillId="59" borderId="15" xfId="0" applyNumberFormat="1" applyFont="1" applyFill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0" fillId="0" borderId="46" xfId="0" applyFont="1" applyFill="1" applyBorder="1" applyAlignment="1">
      <alignment horizontal="center"/>
    </xf>
    <xf numFmtId="0" fontId="0" fillId="0" borderId="47" xfId="0" applyFont="1" applyFill="1" applyBorder="1" applyAlignment="1">
      <alignment horizontal="center"/>
    </xf>
    <xf numFmtId="2" fontId="0" fillId="59" borderId="13" xfId="0" applyNumberFormat="1" applyFont="1" applyFill="1" applyBorder="1" applyAlignment="1">
      <alignment horizontal="center"/>
    </xf>
    <xf numFmtId="2" fontId="0" fillId="59" borderId="15" xfId="0" applyNumberFormat="1" applyFont="1" applyFill="1" applyBorder="1" applyAlignment="1">
      <alignment horizontal="center"/>
    </xf>
    <xf numFmtId="2" fontId="0" fillId="59" borderId="85" xfId="0" applyNumberFormat="1" applyFont="1" applyFill="1" applyBorder="1" applyAlignment="1">
      <alignment horizontal="center"/>
    </xf>
    <xf numFmtId="2" fontId="0" fillId="59" borderId="89" xfId="0" applyNumberFormat="1" applyFont="1" applyFill="1" applyBorder="1" applyAlignment="1">
      <alignment horizontal="center"/>
    </xf>
    <xf numFmtId="164" fontId="0" fillId="59" borderId="85" xfId="0" applyNumberFormat="1" applyFont="1" applyFill="1" applyBorder="1" applyAlignment="1">
      <alignment horizontal="center"/>
    </xf>
    <xf numFmtId="164" fontId="0" fillId="51" borderId="85" xfId="0" applyNumberFormat="1" applyFont="1" applyFill="1" applyBorder="1" applyAlignment="1">
      <alignment horizontal="center"/>
    </xf>
    <xf numFmtId="164" fontId="0" fillId="59" borderId="89" xfId="0" applyNumberFormat="1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0" borderId="16" xfId="0" applyNumberFormat="1" applyFont="1" applyBorder="1" applyAlignment="1">
      <alignment horizontal="center"/>
    </xf>
    <xf numFmtId="0" fontId="0" fillId="0" borderId="44" xfId="0" applyFont="1" applyBorder="1" applyAlignment="1">
      <alignment horizontal="center"/>
    </xf>
    <xf numFmtId="0" fontId="0" fillId="0" borderId="47" xfId="0" applyFont="1" applyBorder="1" applyAlignment="1">
      <alignment horizontal="center"/>
    </xf>
  </cellXfs>
  <cellStyles count="99">
    <cellStyle name="20% - Accent1 2" xfId="3"/>
    <cellStyle name="20% - Accent1 3" xfId="2"/>
    <cellStyle name="20% - Accent2 2" xfId="5"/>
    <cellStyle name="20% - Accent2 3" xfId="4"/>
    <cellStyle name="20% - Accent3 2" xfId="7"/>
    <cellStyle name="20% - Accent3 3" xfId="6"/>
    <cellStyle name="20% - Accent4 2" xfId="9"/>
    <cellStyle name="20% - Accent4 3" xfId="8"/>
    <cellStyle name="20% - Accent5 2" xfId="11"/>
    <cellStyle name="20% - Accent5 3" xfId="10"/>
    <cellStyle name="20% - Accent6 2" xfId="13"/>
    <cellStyle name="20% - Accent6 3" xfId="12"/>
    <cellStyle name="40% - Accent1 2" xfId="15"/>
    <cellStyle name="40% - Accent1 3" xfId="14"/>
    <cellStyle name="40% - Accent2 2" xfId="17"/>
    <cellStyle name="40% - Accent2 3" xfId="16"/>
    <cellStyle name="40% - Accent3 2" xfId="19"/>
    <cellStyle name="40% - Accent3 3" xfId="18"/>
    <cellStyle name="40% - Accent4 2" xfId="21"/>
    <cellStyle name="40% - Accent4 3" xfId="20"/>
    <cellStyle name="40% - Accent5 2" xfId="23"/>
    <cellStyle name="40% - Accent5 3" xfId="22"/>
    <cellStyle name="40% - Accent6 2" xfId="25"/>
    <cellStyle name="40% - Accent6 3" xfId="24"/>
    <cellStyle name="60% - Accent1 2" xfId="27"/>
    <cellStyle name="60% - Accent1 3" xfId="26"/>
    <cellStyle name="60% - Accent2 2" xfId="29"/>
    <cellStyle name="60% - Accent2 3" xfId="28"/>
    <cellStyle name="60% - Accent3 2" xfId="31"/>
    <cellStyle name="60% - Accent3 3" xfId="30"/>
    <cellStyle name="60% - Accent4 2" xfId="33"/>
    <cellStyle name="60% - Accent4 3" xfId="32"/>
    <cellStyle name="60% - Accent5 2" xfId="35"/>
    <cellStyle name="60% - Accent5 3" xfId="34"/>
    <cellStyle name="60% - Accent6 2" xfId="37"/>
    <cellStyle name="60% - Accent6 3" xfId="36"/>
    <cellStyle name="Accent1 2" xfId="39"/>
    <cellStyle name="Accent1 3" xfId="38"/>
    <cellStyle name="Accent2 2" xfId="41"/>
    <cellStyle name="Accent2 3" xfId="40"/>
    <cellStyle name="Accent3 2" xfId="43"/>
    <cellStyle name="Accent3 3" xfId="42"/>
    <cellStyle name="Accent4 2" xfId="45"/>
    <cellStyle name="Accent4 3" xfId="44"/>
    <cellStyle name="Accent5 2" xfId="47"/>
    <cellStyle name="Accent5 3" xfId="46"/>
    <cellStyle name="Accent6 2" xfId="49"/>
    <cellStyle name="Accent6 3" xfId="48"/>
    <cellStyle name="Bad 2" xfId="51"/>
    <cellStyle name="Bad 3" xfId="50"/>
    <cellStyle name="Calculation 2" xfId="53"/>
    <cellStyle name="Calculation 3" xfId="52"/>
    <cellStyle name="Check Cell 2" xfId="55"/>
    <cellStyle name="Check Cell 3" xfId="54"/>
    <cellStyle name="Explanatory Text 2" xfId="57"/>
    <cellStyle name="Explanatory Text 3" xfId="56"/>
    <cellStyle name="Good 2" xfId="59"/>
    <cellStyle name="Good 3" xfId="58"/>
    <cellStyle name="Heading 1 2" xfId="61"/>
    <cellStyle name="Heading 1 3" xfId="60"/>
    <cellStyle name="Heading 2 2" xfId="63"/>
    <cellStyle name="Heading 2 3" xfId="62"/>
    <cellStyle name="Heading 3 2" xfId="65"/>
    <cellStyle name="Heading 3 3" xfId="64"/>
    <cellStyle name="Heading 4 2" xfId="67"/>
    <cellStyle name="Heading 4 3" xfId="66"/>
    <cellStyle name="Hyperlink" xfId="98" builtinId="8"/>
    <cellStyle name="Hyperlink 2" xfId="68"/>
    <cellStyle name="Hyperlink 3" xfId="69"/>
    <cellStyle name="Hyperlink 4" xfId="70"/>
    <cellStyle name="Input 2" xfId="72"/>
    <cellStyle name="Input 3" xfId="71"/>
    <cellStyle name="Linked Cell 2" xfId="74"/>
    <cellStyle name="Linked Cell 3" xfId="73"/>
    <cellStyle name="Neutral 2" xfId="76"/>
    <cellStyle name="Neutral 3" xfId="75"/>
    <cellStyle name="Normal" xfId="0" builtinId="0"/>
    <cellStyle name="Normal 12" xfId="77"/>
    <cellStyle name="Normal 12 2" xfId="78"/>
    <cellStyle name="Normal 13" xfId="79"/>
    <cellStyle name="Normal 2" xfId="80"/>
    <cellStyle name="Normal 2 2" xfId="95"/>
    <cellStyle name="Normal 3" xfId="81"/>
    <cellStyle name="Normal 3 2" xfId="82"/>
    <cellStyle name="Normal 4" xfId="1"/>
    <cellStyle name="Normal_Annual 2011 Data" xfId="94"/>
    <cellStyle name="Normal_Annual Primus 2009" xfId="83"/>
    <cellStyle name="Note 2" xfId="85"/>
    <cellStyle name="Note 3" xfId="84"/>
    <cellStyle name="Output 2" xfId="87"/>
    <cellStyle name="Output 3" xfId="86"/>
    <cellStyle name="Percent 2" xfId="97"/>
    <cellStyle name="Percent 3" xfId="96"/>
    <cellStyle name="Title 2" xfId="89"/>
    <cellStyle name="Title 3" xfId="88"/>
    <cellStyle name="Total 2" xfId="91"/>
    <cellStyle name="Total 3" xfId="90"/>
    <cellStyle name="Warning Text 2" xfId="93"/>
    <cellStyle name="Warning Text 3" xfId="92"/>
  </cellStyles>
  <dxfs count="138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ont>
        <b/>
        <i/>
        <color rgb="FF9C0006"/>
      </font>
      <fill>
        <patternFill patternType="none">
          <bgColor auto="1"/>
        </patternFill>
      </fill>
    </dxf>
    <dxf>
      <fill>
        <patternFill>
          <bgColor theme="7" tint="0.39994506668294322"/>
        </patternFill>
      </fill>
    </dxf>
    <dxf>
      <font>
        <b/>
        <i val="0"/>
        <strike val="0"/>
        <color rgb="FFC00000"/>
      </font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ont>
        <color theme="5"/>
      </font>
      <fill>
        <patternFill>
          <bgColor theme="7" tint="0.79998168889431442"/>
        </patternFill>
      </fill>
    </dxf>
    <dxf>
      <font>
        <color theme="5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  <border>
        <bottom style="medium">
          <color theme="4"/>
        </bottom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 patternType="solid">
          <fgColor theme="4" tint="0.79989013336588644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  <border>
        <bottom style="medium">
          <color theme="4"/>
        </bottom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/>
      </border>
    </dxf>
    <dxf>
      <fill>
        <patternFill patternType="solid">
          <fgColor theme="4" tint="0.79989013336588644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  <border>
        <bottom style="medium">
          <color theme="4"/>
        </bottom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/>
      </border>
    </dxf>
  </dxfs>
  <tableStyles count="3" defaultTableStyle="TableStyleMedium2" defaultPivotStyle="PivotStyleLight16">
    <tableStyle name="DataFormat" pivot="0" count="7">
      <tableStyleElement type="wholeTable" dxfId="137"/>
      <tableStyleElement type="headerRow" dxfId="136"/>
      <tableStyleElement type="totalRow" dxfId="135"/>
      <tableStyleElement type="firstColumn" dxfId="134"/>
      <tableStyleElement type="lastColumn" dxfId="133"/>
      <tableStyleElement type="firstRowStripe" size="5" dxfId="132"/>
      <tableStyleElement type="firstColumnStripe" dxfId="131"/>
    </tableStyle>
    <tableStyle name="DataFormat_Profiles" pivot="0" count="7">
      <tableStyleElement type="wholeTable" dxfId="130"/>
      <tableStyleElement type="headerRow" dxfId="129"/>
      <tableStyleElement type="totalRow" dxfId="128"/>
      <tableStyleElement type="firstColumn" dxfId="127"/>
      <tableStyleElement type="lastColumn" dxfId="126"/>
      <tableStyleElement type="firstRowStripe" size="5" dxfId="125"/>
      <tableStyleElement type="firstColumnStripe" dxfId="124"/>
    </tableStyle>
    <tableStyle name="TableStyleLight16 2" pivot="0" count="7">
      <tableStyleElement type="wholeTable" dxfId="123"/>
      <tableStyleElement type="headerRow" dxfId="122"/>
      <tableStyleElement type="totalRow" dxfId="121"/>
      <tableStyleElement type="firstColumn" dxfId="120"/>
      <tableStyleElement type="lastColumn" dxfId="119"/>
      <tableStyleElement type="firstRowStripe" size="5" dxfId="118"/>
      <tableStyleElement type="firstColumnStripe" dxfId="117"/>
    </tableStyle>
  </tableStyles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PDDs!$E$26</c:f>
              <c:strCache>
                <c:ptCount val="1"/>
                <c:pt idx="0">
                  <c:v>PDD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PDDs!$C$27:$C$35</c:f>
              <c:numCache>
                <c:formatCode>0.00</c:formatCode>
                <c:ptCount val="9"/>
                <c:pt idx="0">
                  <c:v>1.4279999999999999</c:v>
                </c:pt>
                <c:pt idx="1">
                  <c:v>1.6279999999999999</c:v>
                </c:pt>
                <c:pt idx="2">
                  <c:v>1.528</c:v>
                </c:pt>
                <c:pt idx="3">
                  <c:v>1.3279999999999998</c:v>
                </c:pt>
                <c:pt idx="4">
                  <c:v>1.228</c:v>
                </c:pt>
                <c:pt idx="5">
                  <c:v>4.9980000000000002</c:v>
                </c:pt>
                <c:pt idx="6">
                  <c:v>9.9980000000000011</c:v>
                </c:pt>
              </c:numCache>
            </c:numRef>
          </c:xVal>
          <c:yVal>
            <c:numRef>
              <c:f>PDDs!$E$27:$E$35</c:f>
              <c:numCache>
                <c:formatCode>0.00</c:formatCode>
                <c:ptCount val="9"/>
                <c:pt idx="0">
                  <c:v>99.948770491803288</c:v>
                </c:pt>
                <c:pt idx="1">
                  <c:v>99.795081967213122</c:v>
                </c:pt>
                <c:pt idx="2">
                  <c:v>99.948770491803288</c:v>
                </c:pt>
                <c:pt idx="3">
                  <c:v>100</c:v>
                </c:pt>
                <c:pt idx="4">
                  <c:v>99.795081967213122</c:v>
                </c:pt>
                <c:pt idx="5">
                  <c:v>86.270491803278688</c:v>
                </c:pt>
                <c:pt idx="6">
                  <c:v>67.110655737704917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7A-40FA-9B7C-FB83E24AB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29712"/>
        <c:axId val="31125872"/>
      </c:scatterChart>
      <c:valAx>
        <c:axId val="31129712"/>
        <c:scaling>
          <c:orientation val="minMax"/>
          <c:max val="1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5872"/>
        <c:crosses val="autoZero"/>
        <c:crossBetween val="midCat"/>
      </c:valAx>
      <c:valAx>
        <c:axId val="3112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9712"/>
        <c:crossesAt val="0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PDDs!$I$26</c:f>
              <c:strCache>
                <c:ptCount val="1"/>
                <c:pt idx="0">
                  <c:v>PDD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PDDs!$G$27:$G$35</c:f>
              <c:numCache>
                <c:formatCode>0.00</c:formatCode>
                <c:ptCount val="9"/>
                <c:pt idx="0">
                  <c:v>2.2279999999999998</c:v>
                </c:pt>
                <c:pt idx="1">
                  <c:v>2.3279999999999998</c:v>
                </c:pt>
                <c:pt idx="2">
                  <c:v>2.4279999999999999</c:v>
                </c:pt>
                <c:pt idx="3">
                  <c:v>2.528</c:v>
                </c:pt>
                <c:pt idx="4">
                  <c:v>2.6280000000000001</c:v>
                </c:pt>
                <c:pt idx="5">
                  <c:v>2.7279999999999998</c:v>
                </c:pt>
                <c:pt idx="6">
                  <c:v>2.1280000000000001</c:v>
                </c:pt>
                <c:pt idx="7">
                  <c:v>4.9980000000000002</c:v>
                </c:pt>
                <c:pt idx="8">
                  <c:v>9.9980000000000011</c:v>
                </c:pt>
              </c:numCache>
            </c:numRef>
          </c:xVal>
          <c:yVal>
            <c:numRef>
              <c:f>PDDs!$I$27:$I$35</c:f>
              <c:numCache>
                <c:formatCode>0.00</c:formatCode>
                <c:ptCount val="9"/>
                <c:pt idx="0">
                  <c:v>99.949083503054993</c:v>
                </c:pt>
                <c:pt idx="1">
                  <c:v>100</c:v>
                </c:pt>
                <c:pt idx="2">
                  <c:v>99.949083503054993</c:v>
                </c:pt>
                <c:pt idx="3">
                  <c:v>99.898167006109972</c:v>
                </c:pt>
                <c:pt idx="4">
                  <c:v>99.69450101832993</c:v>
                </c:pt>
                <c:pt idx="5">
                  <c:v>99.490835030549889</c:v>
                </c:pt>
                <c:pt idx="6">
                  <c:v>99.898167006109972</c:v>
                </c:pt>
                <c:pt idx="7">
                  <c:v>91.649694501018331</c:v>
                </c:pt>
                <c:pt idx="8">
                  <c:v>73.93075356415477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24-40D6-9E2E-8538F0976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29712"/>
        <c:axId val="31125872"/>
      </c:scatterChart>
      <c:valAx>
        <c:axId val="31129712"/>
        <c:scaling>
          <c:orientation val="minMax"/>
          <c:max val="1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5872"/>
        <c:crosses val="autoZero"/>
        <c:crossBetween val="midCat"/>
      </c:valAx>
      <c:valAx>
        <c:axId val="3112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9712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PDDs!$E$49</c:f>
              <c:strCache>
                <c:ptCount val="1"/>
                <c:pt idx="0">
                  <c:v>Ratio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PDDs!$C$50:$C$60</c:f>
              <c:numCache>
                <c:formatCode>0.00</c:formatCode>
                <c:ptCount val="11"/>
                <c:pt idx="0">
                  <c:v>1.04</c:v>
                </c:pt>
                <c:pt idx="1">
                  <c:v>1.1399999999999999</c:v>
                </c:pt>
                <c:pt idx="2">
                  <c:v>1.24</c:v>
                </c:pt>
                <c:pt idx="3">
                  <c:v>1.3399999999999999</c:v>
                </c:pt>
                <c:pt idx="4">
                  <c:v>1.44</c:v>
                </c:pt>
                <c:pt idx="5">
                  <c:v>2.2399999999999998</c:v>
                </c:pt>
                <c:pt idx="6">
                  <c:v>2.34</c:v>
                </c:pt>
                <c:pt idx="7">
                  <c:v>2.44</c:v>
                </c:pt>
              </c:numCache>
            </c:numRef>
          </c:xVal>
          <c:yVal>
            <c:numRef>
              <c:f>PDDs!$E$50:$E$60</c:f>
              <c:numCache>
                <c:formatCode>0.000</c:formatCode>
                <c:ptCount val="11"/>
                <c:pt idx="0">
                  <c:v>0.96999531176746367</c:v>
                </c:pt>
                <c:pt idx="1">
                  <c:v>0.98734177215189867</c:v>
                </c:pt>
                <c:pt idx="2">
                  <c:v>0.99765588373183312</c:v>
                </c:pt>
                <c:pt idx="3">
                  <c:v>1</c:v>
                </c:pt>
                <c:pt idx="4">
                  <c:v>0.99437412095639932</c:v>
                </c:pt>
                <c:pt idx="5">
                  <c:v>0.58931082981715888</c:v>
                </c:pt>
                <c:pt idx="6">
                  <c:v>0.50257852789498358</c:v>
                </c:pt>
                <c:pt idx="7">
                  <c:v>0.41762775433661509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40-4232-B89E-5E24A96C5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29712"/>
        <c:axId val="31125872"/>
      </c:scatterChart>
      <c:valAx>
        <c:axId val="3112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5872"/>
        <c:crosses val="autoZero"/>
        <c:crossBetween val="midCat"/>
      </c:valAx>
      <c:valAx>
        <c:axId val="3112587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9712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PDDs!$M$26</c:f>
              <c:strCache>
                <c:ptCount val="1"/>
                <c:pt idx="0">
                  <c:v>PDD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PDDs!$K$27:$K$35</c:f>
              <c:numCache>
                <c:formatCode>0.00</c:formatCode>
                <c:ptCount val="9"/>
                <c:pt idx="0">
                  <c:v>1.228</c:v>
                </c:pt>
                <c:pt idx="1">
                  <c:v>1.1279999999999999</c:v>
                </c:pt>
                <c:pt idx="2">
                  <c:v>1.3279999999999998</c:v>
                </c:pt>
                <c:pt idx="3">
                  <c:v>1.4279999999999999</c:v>
                </c:pt>
                <c:pt idx="4">
                  <c:v>1.528</c:v>
                </c:pt>
                <c:pt idx="5">
                  <c:v>1.6279999999999999</c:v>
                </c:pt>
                <c:pt idx="6">
                  <c:v>4.9980000000000002</c:v>
                </c:pt>
                <c:pt idx="7">
                  <c:v>9.9980000000000011</c:v>
                </c:pt>
              </c:numCache>
            </c:numRef>
          </c:xVal>
          <c:yVal>
            <c:numRef>
              <c:f>PDDs!$M$27:$M$35</c:f>
              <c:numCache>
                <c:formatCode>0.00</c:formatCode>
                <c:ptCount val="9"/>
                <c:pt idx="0">
                  <c:v>99.796851193499236</c:v>
                </c:pt>
                <c:pt idx="1">
                  <c:v>99.644489588623671</c:v>
                </c:pt>
                <c:pt idx="2">
                  <c:v>100</c:v>
                </c:pt>
                <c:pt idx="3">
                  <c:v>99.746063991874038</c:v>
                </c:pt>
                <c:pt idx="4">
                  <c:v>99.796851193499236</c:v>
                </c:pt>
                <c:pt idx="5">
                  <c:v>99.593702386998473</c:v>
                </c:pt>
                <c:pt idx="6">
                  <c:v>84.966988318943621</c:v>
                </c:pt>
                <c:pt idx="7">
                  <c:v>64.093448450990351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7F-4559-9CFC-F830479AD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29712"/>
        <c:axId val="31125872"/>
      </c:scatterChart>
      <c:valAx>
        <c:axId val="31129712"/>
        <c:scaling>
          <c:orientation val="minMax"/>
          <c:max val="1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5872"/>
        <c:crosses val="autoZero"/>
        <c:crossBetween val="midCat"/>
      </c:valAx>
      <c:valAx>
        <c:axId val="3112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9712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PDDs!$Q$26</c:f>
              <c:strCache>
                <c:ptCount val="1"/>
                <c:pt idx="0">
                  <c:v>PDD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PDDs!$O$27:$O$35</c:f>
              <c:numCache>
                <c:formatCode>0.00</c:formatCode>
                <c:ptCount val="9"/>
                <c:pt idx="0">
                  <c:v>2.028</c:v>
                </c:pt>
                <c:pt idx="1">
                  <c:v>2.1280000000000001</c:v>
                </c:pt>
                <c:pt idx="2">
                  <c:v>2.2279999999999998</c:v>
                </c:pt>
                <c:pt idx="3">
                  <c:v>2.3279999999999998</c:v>
                </c:pt>
                <c:pt idx="4">
                  <c:v>2.4279999999999999</c:v>
                </c:pt>
                <c:pt idx="5">
                  <c:v>2.528</c:v>
                </c:pt>
                <c:pt idx="6">
                  <c:v>4.9980000000000002</c:v>
                </c:pt>
                <c:pt idx="7">
                  <c:v>9.9980000000000011</c:v>
                </c:pt>
              </c:numCache>
            </c:numRef>
          </c:xVal>
          <c:yVal>
            <c:numRef>
              <c:f>PDDs!$Q$27:$Q$35</c:f>
              <c:numCache>
                <c:formatCode>0.00</c:formatCode>
                <c:ptCount val="9"/>
                <c:pt idx="0">
                  <c:v>99.850299401197603</c:v>
                </c:pt>
                <c:pt idx="1">
                  <c:v>99.900199600798402</c:v>
                </c:pt>
                <c:pt idx="2">
                  <c:v>100</c:v>
                </c:pt>
                <c:pt idx="3">
                  <c:v>100</c:v>
                </c:pt>
                <c:pt idx="4">
                  <c:v>99.800399201596804</c:v>
                </c:pt>
                <c:pt idx="5">
                  <c:v>99.550898203592808</c:v>
                </c:pt>
                <c:pt idx="6">
                  <c:v>90.419161676646709</c:v>
                </c:pt>
                <c:pt idx="7">
                  <c:v>71.057884231536917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00-4D87-95BD-9E12ACF40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29712"/>
        <c:axId val="31125872"/>
      </c:scatterChart>
      <c:valAx>
        <c:axId val="31129712"/>
        <c:scaling>
          <c:orientation val="minMax"/>
          <c:max val="1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5872"/>
        <c:crosses val="autoZero"/>
        <c:crossBetween val="midCat"/>
      </c:valAx>
      <c:valAx>
        <c:axId val="3112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9712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PDDs!$U$26</c:f>
              <c:strCache>
                <c:ptCount val="1"/>
                <c:pt idx="0">
                  <c:v>PDD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PDDs!$S$27:$S$35</c:f>
              <c:numCache>
                <c:formatCode>0.00</c:formatCode>
                <c:ptCount val="9"/>
                <c:pt idx="0">
                  <c:v>2.9279999999999999</c:v>
                </c:pt>
                <c:pt idx="1">
                  <c:v>3.028</c:v>
                </c:pt>
                <c:pt idx="2">
                  <c:v>3.1280000000000001</c:v>
                </c:pt>
                <c:pt idx="3">
                  <c:v>3.2279999999999998</c:v>
                </c:pt>
                <c:pt idx="4">
                  <c:v>3.3279999999999998</c:v>
                </c:pt>
                <c:pt idx="5">
                  <c:v>3.4279999999999999</c:v>
                </c:pt>
                <c:pt idx="6">
                  <c:v>4.9980000000000002</c:v>
                </c:pt>
                <c:pt idx="7">
                  <c:v>9.9980000000000011</c:v>
                </c:pt>
              </c:numCache>
            </c:numRef>
          </c:xVal>
          <c:yVal>
            <c:numRef>
              <c:f>PDDs!$U$27:$U$35</c:f>
              <c:numCache>
                <c:formatCode>0.00</c:formatCode>
                <c:ptCount val="9"/>
                <c:pt idx="0">
                  <c:v>99.597787833081952</c:v>
                </c:pt>
                <c:pt idx="1">
                  <c:v>99.798893916540976</c:v>
                </c:pt>
                <c:pt idx="2">
                  <c:v>99.74861739567622</c:v>
                </c:pt>
                <c:pt idx="3">
                  <c:v>100</c:v>
                </c:pt>
                <c:pt idx="4">
                  <c:v>99.899446958270488</c:v>
                </c:pt>
                <c:pt idx="5">
                  <c:v>99.849170437405732</c:v>
                </c:pt>
                <c:pt idx="6">
                  <c:v>96.405228758169926</c:v>
                </c:pt>
                <c:pt idx="7">
                  <c:v>79.864253393665166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AD-40BF-BBE9-138386E60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29712"/>
        <c:axId val="31125872"/>
      </c:scatterChart>
      <c:valAx>
        <c:axId val="31129712"/>
        <c:scaling>
          <c:orientation val="minMax"/>
          <c:max val="1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5872"/>
        <c:crosses val="autoZero"/>
        <c:crossBetween val="midCat"/>
      </c:valAx>
      <c:valAx>
        <c:axId val="3112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9712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PDDs!$E$49</c:f>
              <c:strCache>
                <c:ptCount val="1"/>
                <c:pt idx="0">
                  <c:v>Ratio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PDDs!$G$50:$G$60</c:f>
              <c:numCache>
                <c:formatCode>0.00</c:formatCode>
                <c:ptCount val="11"/>
                <c:pt idx="0">
                  <c:v>1.94</c:v>
                </c:pt>
                <c:pt idx="1">
                  <c:v>2.04</c:v>
                </c:pt>
                <c:pt idx="2">
                  <c:v>2.14</c:v>
                </c:pt>
                <c:pt idx="3">
                  <c:v>2.2399999999999998</c:v>
                </c:pt>
                <c:pt idx="5">
                  <c:v>3.44</c:v>
                </c:pt>
                <c:pt idx="6">
                  <c:v>3.54</c:v>
                </c:pt>
                <c:pt idx="7">
                  <c:v>3.64</c:v>
                </c:pt>
              </c:numCache>
            </c:numRef>
          </c:xVal>
          <c:yVal>
            <c:numRef>
              <c:f>PDDs!$I$50:$I$60</c:f>
              <c:numCache>
                <c:formatCode>0.000</c:formatCode>
                <c:ptCount val="11"/>
                <c:pt idx="0">
                  <c:v>0.99810695693327023</c:v>
                </c:pt>
                <c:pt idx="1">
                  <c:v>1</c:v>
                </c:pt>
                <c:pt idx="2">
                  <c:v>0.99810695693327023</c:v>
                </c:pt>
                <c:pt idx="3">
                  <c:v>0.99621391386654046</c:v>
                </c:pt>
                <c:pt idx="5">
                  <c:v>0.57832465688594414</c:v>
                </c:pt>
                <c:pt idx="6">
                  <c:v>0.51585423568386179</c:v>
                </c:pt>
                <c:pt idx="7">
                  <c:v>0.45300520586843346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22-435D-820B-2C241BBB4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29712"/>
        <c:axId val="31125872"/>
      </c:scatterChart>
      <c:valAx>
        <c:axId val="3112971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5872"/>
        <c:crosses val="autoZero"/>
        <c:crossBetween val="midCat"/>
      </c:valAx>
      <c:valAx>
        <c:axId val="3112587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9712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PDDs!$E$49</c:f>
              <c:strCache>
                <c:ptCount val="1"/>
                <c:pt idx="0">
                  <c:v>Ratio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PDDs!$K$50:$K$60</c:f>
              <c:numCache>
                <c:formatCode>0.00</c:formatCode>
                <c:ptCount val="11"/>
                <c:pt idx="0">
                  <c:v>2.44</c:v>
                </c:pt>
                <c:pt idx="1">
                  <c:v>2.54</c:v>
                </c:pt>
                <c:pt idx="2">
                  <c:v>2.64</c:v>
                </c:pt>
                <c:pt idx="3">
                  <c:v>2.7399999999999998</c:v>
                </c:pt>
                <c:pt idx="4">
                  <c:v>2.84</c:v>
                </c:pt>
                <c:pt idx="5">
                  <c:v>2.94</c:v>
                </c:pt>
                <c:pt idx="6">
                  <c:v>4.8400000000000007</c:v>
                </c:pt>
                <c:pt idx="7">
                  <c:v>4.9400000000000004</c:v>
                </c:pt>
                <c:pt idx="8">
                  <c:v>5.04</c:v>
                </c:pt>
              </c:numCache>
            </c:numRef>
          </c:xVal>
          <c:yVal>
            <c:numRef>
              <c:f>PDDs!$M$50:$M$60</c:f>
              <c:numCache>
                <c:formatCode>0.000</c:formatCode>
                <c:ptCount val="11"/>
                <c:pt idx="0">
                  <c:v>0.99387370405278053</c:v>
                </c:pt>
                <c:pt idx="1">
                  <c:v>0.99764373232799242</c:v>
                </c:pt>
                <c:pt idx="2">
                  <c:v>0.99905749293119706</c:v>
                </c:pt>
                <c:pt idx="3">
                  <c:v>0.99952874646559853</c:v>
                </c:pt>
                <c:pt idx="4">
                  <c:v>1</c:v>
                </c:pt>
                <c:pt idx="5">
                  <c:v>0.99858623939679558</c:v>
                </c:pt>
                <c:pt idx="6" formatCode="0.00">
                  <c:v>0.57210179076343082</c:v>
                </c:pt>
                <c:pt idx="7">
                  <c:v>0.52309142318567392</c:v>
                </c:pt>
                <c:pt idx="8">
                  <c:v>0.47879359095193214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EB-4928-BD13-28E1C3A6B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29712"/>
        <c:axId val="31125872"/>
      </c:scatterChart>
      <c:valAx>
        <c:axId val="3112971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5872"/>
        <c:crosses val="autoZero"/>
        <c:crossBetween val="midCat"/>
      </c:valAx>
      <c:valAx>
        <c:axId val="3112587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9712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PDDs!$E$49</c:f>
              <c:strCache>
                <c:ptCount val="1"/>
                <c:pt idx="0">
                  <c:v>Ratio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PDDs!$O$50:$O$60</c:f>
              <c:numCache>
                <c:formatCode>0.00</c:formatCode>
                <c:ptCount val="11"/>
                <c:pt idx="0">
                  <c:v>2.7399999999999998</c:v>
                </c:pt>
                <c:pt idx="1">
                  <c:v>2.94</c:v>
                </c:pt>
                <c:pt idx="2">
                  <c:v>3.14</c:v>
                </c:pt>
                <c:pt idx="3">
                  <c:v>2.54</c:v>
                </c:pt>
                <c:pt idx="4">
                  <c:v>2.34</c:v>
                </c:pt>
                <c:pt idx="5">
                  <c:v>2.14</c:v>
                </c:pt>
                <c:pt idx="6">
                  <c:v>6.54</c:v>
                </c:pt>
                <c:pt idx="7">
                  <c:v>6.6400000000000006</c:v>
                </c:pt>
                <c:pt idx="8">
                  <c:v>6.74</c:v>
                </c:pt>
              </c:numCache>
            </c:numRef>
          </c:xVal>
          <c:yVal>
            <c:numRef>
              <c:f>PDDs!$Q$50:$Q$60</c:f>
              <c:numCache>
                <c:formatCode>0.000</c:formatCode>
                <c:ptCount val="11"/>
                <c:pt idx="0">
                  <c:v>0.99814557255447389</c:v>
                </c:pt>
                <c:pt idx="1">
                  <c:v>0.99675475197032926</c:v>
                </c:pt>
                <c:pt idx="2">
                  <c:v>0.99629114510894767</c:v>
                </c:pt>
                <c:pt idx="3">
                  <c:v>0.99953639313861853</c:v>
                </c:pt>
                <c:pt idx="4">
                  <c:v>1</c:v>
                </c:pt>
                <c:pt idx="5">
                  <c:v>1</c:v>
                </c:pt>
                <c:pt idx="6">
                  <c:v>0.53500231803430698</c:v>
                </c:pt>
                <c:pt idx="7">
                  <c:v>0.50254983773759854</c:v>
                </c:pt>
                <c:pt idx="8">
                  <c:v>0.46685210941121935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0C-4522-8768-69962EB2E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29712"/>
        <c:axId val="31125872"/>
      </c:scatterChart>
      <c:valAx>
        <c:axId val="3112971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5872"/>
        <c:crosses val="autoZero"/>
        <c:crossBetween val="midCat"/>
      </c:valAx>
      <c:valAx>
        <c:axId val="3112587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9712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PDDs!$E$49</c:f>
              <c:strCache>
                <c:ptCount val="1"/>
                <c:pt idx="0">
                  <c:v>Ratio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PDDs!$S$50:$S$60</c:f>
              <c:numCache>
                <c:formatCode>0.00</c:formatCode>
                <c:ptCount val="11"/>
                <c:pt idx="0">
                  <c:v>1.74</c:v>
                </c:pt>
                <c:pt idx="1">
                  <c:v>2.14</c:v>
                </c:pt>
                <c:pt idx="2">
                  <c:v>2.54</c:v>
                </c:pt>
                <c:pt idx="3">
                  <c:v>1.3399999999999999</c:v>
                </c:pt>
                <c:pt idx="4">
                  <c:v>1.1399999999999999</c:v>
                </c:pt>
                <c:pt idx="5">
                  <c:v>1.94</c:v>
                </c:pt>
                <c:pt idx="7">
                  <c:v>8.1399999999999988</c:v>
                </c:pt>
                <c:pt idx="8">
                  <c:v>8.24</c:v>
                </c:pt>
              </c:numCache>
            </c:numRef>
          </c:xVal>
          <c:yVal>
            <c:numRef>
              <c:f>PDDs!$U$50:$U$60</c:f>
              <c:numCache>
                <c:formatCode>0.000</c:formatCode>
                <c:ptCount val="11"/>
                <c:pt idx="0">
                  <c:v>0.99819086386250566</c:v>
                </c:pt>
                <c:pt idx="1">
                  <c:v>0.99728629579375849</c:v>
                </c:pt>
                <c:pt idx="2">
                  <c:v>0.99366802351876982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0.52057892356399815</c:v>
                </c:pt>
                <c:pt idx="8">
                  <c:v>0.49886928991406604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5E-4104-9B37-481EE2D2E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29712"/>
        <c:axId val="31125872"/>
      </c:scatterChart>
      <c:valAx>
        <c:axId val="3112971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5872"/>
        <c:crosses val="autoZero"/>
        <c:crossBetween val="midCat"/>
      </c:valAx>
      <c:valAx>
        <c:axId val="3112587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29712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image" Target="../media/image7.png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18</xdr:row>
      <xdr:rowOff>11908</xdr:rowOff>
    </xdr:from>
    <xdr:to>
      <xdr:col>23</xdr:col>
      <xdr:colOff>135328</xdr:colOff>
      <xdr:row>38</xdr:row>
      <xdr:rowOff>99533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BB45D9-686F-4AAA-9429-4721FC286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59075" y="1745458"/>
          <a:ext cx="3230954" cy="39166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31</xdr:row>
      <xdr:rowOff>5215</xdr:rowOff>
    </xdr:from>
    <xdr:to>
      <xdr:col>9</xdr:col>
      <xdr:colOff>552470</xdr:colOff>
      <xdr:row>32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4C0B5E-2E1C-491F-A693-526CD46B8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2650" y="6253615"/>
          <a:ext cx="1838345" cy="366260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7</xdr:col>
      <xdr:colOff>38100</xdr:colOff>
      <xdr:row>31</xdr:row>
      <xdr:rowOff>5215</xdr:rowOff>
    </xdr:from>
    <xdr:to>
      <xdr:col>9</xdr:col>
      <xdr:colOff>552470</xdr:colOff>
      <xdr:row>32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4136B9-C0A1-4890-B1C5-93F77F401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2650" y="6253615"/>
          <a:ext cx="1838345" cy="366260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7</xdr:col>
      <xdr:colOff>38100</xdr:colOff>
      <xdr:row>31</xdr:row>
      <xdr:rowOff>5215</xdr:rowOff>
    </xdr:from>
    <xdr:to>
      <xdr:col>9</xdr:col>
      <xdr:colOff>552470</xdr:colOff>
      <xdr:row>32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FC63C9-D6F2-43CA-BF0C-6B5AF4122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2650" y="6253615"/>
          <a:ext cx="1838345" cy="366260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342340</xdr:colOff>
      <xdr:row>28</xdr:row>
      <xdr:rowOff>33618</xdr:rowOff>
    </xdr:from>
    <xdr:to>
      <xdr:col>14</xdr:col>
      <xdr:colOff>481853</xdr:colOff>
      <xdr:row>29</xdr:row>
      <xdr:rowOff>67235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640473-A304-4600-84AB-4830D9B02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0899" y="6208059"/>
          <a:ext cx="5753660" cy="235323"/>
        </a:xfrm>
        <a:prstGeom prst="rect">
          <a:avLst/>
        </a:prstGeom>
        <a:ln w="635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8</xdr:col>
      <xdr:colOff>161923</xdr:colOff>
      <xdr:row>30</xdr:row>
      <xdr:rowOff>114300</xdr:rowOff>
    </xdr:from>
    <xdr:to>
      <xdr:col>14</xdr:col>
      <xdr:colOff>114301</xdr:colOff>
      <xdr:row>45</xdr:row>
      <xdr:rowOff>157444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7F005A8F-3A1D-4E12-9648-512A1A45E0E7}"/>
            </a:ext>
          </a:extLst>
        </xdr:cNvPr>
        <xdr:cNvGrpSpPr/>
      </xdr:nvGrpSpPr>
      <xdr:grpSpPr>
        <a:xfrm>
          <a:off x="10975599" y="6692153"/>
          <a:ext cx="4961408" cy="3472144"/>
          <a:chOff x="10944223" y="7318079"/>
          <a:chExt cx="4572003" cy="3383540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796C3D7-1F2F-CDEF-8649-D9FC567036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0944223" y="7318079"/>
            <a:ext cx="4572000" cy="1606594"/>
          </a:xfrm>
          <a:prstGeom prst="rect">
            <a:avLst/>
          </a:prstGeom>
          <a:ln w="6350" cap="sq">
            <a:solidFill>
              <a:srgbClr val="000000"/>
            </a:solidFill>
            <a:prstDash val="solid"/>
            <a:miter lim="800000"/>
          </a:ln>
          <a:effectLst>
            <a:outerShdw blurRad="50800" dist="38100" dir="2700000" algn="tl" rotWithShape="0">
              <a:srgbClr val="000000">
                <a:alpha val="43000"/>
              </a:srgbClr>
            </a:outerShdw>
          </a:effectLst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35C8B344-019D-D0CA-81AF-D1693D48D7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0944226" y="8987120"/>
            <a:ext cx="4572000" cy="1714499"/>
          </a:xfrm>
          <a:prstGeom prst="rect">
            <a:avLst/>
          </a:prstGeom>
          <a:ln w="6350" cap="sq">
            <a:solidFill>
              <a:srgbClr val="000000"/>
            </a:solidFill>
            <a:prstDash val="solid"/>
            <a:miter lim="800000"/>
          </a:ln>
          <a:effectLst>
            <a:outerShdw blurRad="50800" dist="38100" dir="2700000" algn="tl" rotWithShape="0">
              <a:srgbClr val="000000">
                <a:alpha val="43000"/>
              </a:srgbClr>
            </a:outerShdw>
          </a:effectLst>
        </xdr:spPr>
      </xdr:pic>
    </xdr:grpSp>
    <xdr:clientData/>
  </xdr:twoCellAnchor>
  <xdr:twoCellAnchor>
    <xdr:from>
      <xdr:col>0</xdr:col>
      <xdr:colOff>1064559</xdr:colOff>
      <xdr:row>47</xdr:row>
      <xdr:rowOff>168088</xdr:rowOff>
    </xdr:from>
    <xdr:to>
      <xdr:col>4</xdr:col>
      <xdr:colOff>1067196</xdr:colOff>
      <xdr:row>88</xdr:row>
      <xdr:rowOff>176527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13636AA1-FA43-4FC6-EDAB-D107945EE012}"/>
            </a:ext>
          </a:extLst>
        </xdr:cNvPr>
        <xdr:cNvGrpSpPr/>
      </xdr:nvGrpSpPr>
      <xdr:grpSpPr>
        <a:xfrm>
          <a:off x="1064559" y="10668000"/>
          <a:ext cx="6849431" cy="8278380"/>
          <a:chOff x="1086971" y="10802471"/>
          <a:chExt cx="6849431" cy="8278380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B5EEEEC8-4F21-4B2D-6664-AF42049391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86971" y="10802471"/>
            <a:ext cx="6849431" cy="8278380"/>
          </a:xfrm>
          <a:prstGeom prst="rect">
            <a:avLst/>
          </a:prstGeom>
        </xdr:spPr>
      </xdr:pic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B8476B52-1F8A-889F-1709-C5CF0A03EDA2}"/>
              </a:ext>
            </a:extLst>
          </xdr:cNvPr>
          <xdr:cNvSpPr/>
        </xdr:nvSpPr>
        <xdr:spPr>
          <a:xfrm>
            <a:off x="3429000" y="14074588"/>
            <a:ext cx="649941" cy="201706"/>
          </a:xfrm>
          <a:prstGeom prst="rect">
            <a:avLst/>
          </a:prstGeom>
          <a:solidFill>
            <a:srgbClr val="FFFF00">
              <a:alpha val="40000"/>
            </a:srgbClr>
          </a:solidFill>
        </xdr:spPr>
        <xdr:style>
          <a:lnRef idx="2">
            <a:schemeClr val="accent4">
              <a:shade val="15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2084294</xdr:colOff>
      <xdr:row>50</xdr:row>
      <xdr:rowOff>123265</xdr:rowOff>
    </xdr:from>
    <xdr:to>
      <xdr:col>5</xdr:col>
      <xdr:colOff>708607</xdr:colOff>
      <xdr:row>103</xdr:row>
      <xdr:rowOff>86880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52C6755-00C3-4FB7-8E0B-C48EAD6AF105}"/>
            </a:ext>
          </a:extLst>
        </xdr:cNvPr>
        <xdr:cNvGrpSpPr/>
      </xdr:nvGrpSpPr>
      <xdr:grpSpPr>
        <a:xfrm>
          <a:off x="2084294" y="11534215"/>
          <a:ext cx="6863438" cy="8545640"/>
          <a:chOff x="1086971" y="10802471"/>
          <a:chExt cx="6849431" cy="8278380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46C0E6D5-CCDE-2089-5074-F15EB24840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086971" y="10802471"/>
            <a:ext cx="6849431" cy="8278380"/>
          </a:xfrm>
          <a:prstGeom prst="rect">
            <a:avLst/>
          </a:prstGeom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781D74ED-7C44-5F8C-6075-51C550C3F5E3}"/>
              </a:ext>
            </a:extLst>
          </xdr:cNvPr>
          <xdr:cNvSpPr/>
        </xdr:nvSpPr>
        <xdr:spPr>
          <a:xfrm>
            <a:off x="3429000" y="14074588"/>
            <a:ext cx="649941" cy="201706"/>
          </a:xfrm>
          <a:prstGeom prst="rect">
            <a:avLst/>
          </a:prstGeom>
          <a:solidFill>
            <a:srgbClr val="FFFF00">
              <a:alpha val="40000"/>
            </a:srgbClr>
          </a:solidFill>
        </xdr:spPr>
        <xdr:style>
          <a:lnRef idx="2">
            <a:schemeClr val="accent4">
              <a:shade val="15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23811</xdr:colOff>
      <xdr:row>16</xdr:row>
      <xdr:rowOff>17860</xdr:rowOff>
    </xdr:from>
    <xdr:to>
      <xdr:col>4</xdr:col>
      <xdr:colOff>589359</xdr:colOff>
      <xdr:row>24</xdr:row>
      <xdr:rowOff>172640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ECDA56-A608-3762-5C40-6A9EAFA594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23811</xdr:colOff>
      <xdr:row>16</xdr:row>
      <xdr:rowOff>17860</xdr:rowOff>
    </xdr:from>
    <xdr:to>
      <xdr:col>8</xdr:col>
      <xdr:colOff>589359</xdr:colOff>
      <xdr:row>24</xdr:row>
      <xdr:rowOff>172640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5295F1-5D31-412F-A61E-29C2782A74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23811</xdr:colOff>
      <xdr:row>39</xdr:row>
      <xdr:rowOff>17860</xdr:rowOff>
    </xdr:from>
    <xdr:to>
      <xdr:col>4</xdr:col>
      <xdr:colOff>589359</xdr:colOff>
      <xdr:row>47</xdr:row>
      <xdr:rowOff>172640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7ECB0B-23C9-48E3-A07E-B238533D5F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17</xdr:col>
      <xdr:colOff>123825</xdr:colOff>
      <xdr:row>3</xdr:row>
      <xdr:rowOff>44608</xdr:rowOff>
    </xdr:from>
    <xdr:to>
      <xdr:col>21</xdr:col>
      <xdr:colOff>476784</xdr:colOff>
      <xdr:row>9</xdr:row>
      <xdr:rowOff>134261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63225" y="625633"/>
          <a:ext cx="2791359" cy="1299328"/>
        </a:xfrm>
        <a:prstGeom prst="rect">
          <a:avLst/>
        </a:prstGeom>
      </xdr:spPr>
    </xdr:pic>
    <xdr:clientData/>
  </xdr:twoCellAnchor>
  <xdr:twoCellAnchor>
    <xdr:from>
      <xdr:col>9</xdr:col>
      <xdr:colOff>23811</xdr:colOff>
      <xdr:row>16</xdr:row>
      <xdr:rowOff>17860</xdr:rowOff>
    </xdr:from>
    <xdr:to>
      <xdr:col>12</xdr:col>
      <xdr:colOff>589359</xdr:colOff>
      <xdr:row>24</xdr:row>
      <xdr:rowOff>172640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65295F1-5D31-412F-A61E-29C2782A74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23811</xdr:colOff>
      <xdr:row>16</xdr:row>
      <xdr:rowOff>17860</xdr:rowOff>
    </xdr:from>
    <xdr:to>
      <xdr:col>16</xdr:col>
      <xdr:colOff>589359</xdr:colOff>
      <xdr:row>24</xdr:row>
      <xdr:rowOff>172640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65295F1-5D31-412F-A61E-29C2782A74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23811</xdr:colOff>
      <xdr:row>16</xdr:row>
      <xdr:rowOff>17860</xdr:rowOff>
    </xdr:from>
    <xdr:to>
      <xdr:col>20</xdr:col>
      <xdr:colOff>589359</xdr:colOff>
      <xdr:row>24</xdr:row>
      <xdr:rowOff>172640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65295F1-5D31-412F-A61E-29C2782A74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23811</xdr:colOff>
      <xdr:row>39</xdr:row>
      <xdr:rowOff>17860</xdr:rowOff>
    </xdr:from>
    <xdr:to>
      <xdr:col>8</xdr:col>
      <xdr:colOff>589359</xdr:colOff>
      <xdr:row>47</xdr:row>
      <xdr:rowOff>172640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77ECB0B-23C9-48E3-A07E-B238533D5F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23811</xdr:colOff>
      <xdr:row>39</xdr:row>
      <xdr:rowOff>17860</xdr:rowOff>
    </xdr:from>
    <xdr:to>
      <xdr:col>12</xdr:col>
      <xdr:colOff>589359</xdr:colOff>
      <xdr:row>47</xdr:row>
      <xdr:rowOff>172640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77ECB0B-23C9-48E3-A07E-B238533D5F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23811</xdr:colOff>
      <xdr:row>39</xdr:row>
      <xdr:rowOff>17860</xdr:rowOff>
    </xdr:from>
    <xdr:to>
      <xdr:col>16</xdr:col>
      <xdr:colOff>589359</xdr:colOff>
      <xdr:row>47</xdr:row>
      <xdr:rowOff>172640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77ECB0B-23C9-48E3-A07E-B238533D5F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23811</xdr:colOff>
      <xdr:row>39</xdr:row>
      <xdr:rowOff>17860</xdr:rowOff>
    </xdr:from>
    <xdr:to>
      <xdr:col>20</xdr:col>
      <xdr:colOff>589359</xdr:colOff>
      <xdr:row>47</xdr:row>
      <xdr:rowOff>172640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77ECB0B-23C9-48E3-A07E-B238533D5F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forecast.weather.gov/data/obhistory/KOMA.html" TargetMode="External"/><Relationship Id="rId1" Type="http://schemas.openxmlformats.org/officeDocument/2006/relationships/hyperlink" Target="https://forecast.weather.gov/data/obhistory/KOMA.html" TargetMode="External"/><Relationship Id="rId4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8"/>
  <sheetViews>
    <sheetView workbookViewId="0">
      <selection activeCell="A9" sqref="A9"/>
    </sheetView>
  </sheetViews>
  <sheetFormatPr defaultRowHeight="15" x14ac:dyDescent="0.25"/>
  <sheetData>
    <row r="4" spans="1:1" x14ac:dyDescent="0.25">
      <c r="A4" s="620" t="s">
        <v>420</v>
      </c>
    </row>
    <row r="5" spans="1:1" x14ac:dyDescent="0.25">
      <c r="A5" t="s">
        <v>421</v>
      </c>
    </row>
    <row r="6" spans="1:1" x14ac:dyDescent="0.25">
      <c r="A6" t="s">
        <v>422</v>
      </c>
    </row>
    <row r="7" spans="1:1" x14ac:dyDescent="0.25">
      <c r="A7" t="s">
        <v>423</v>
      </c>
    </row>
    <row r="8" spans="1:1" x14ac:dyDescent="0.25">
      <c r="A8" t="s">
        <v>424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470"/>
  <sheetViews>
    <sheetView tabSelected="1" topLeftCell="A55" zoomScaleNormal="100" workbookViewId="0">
      <selection activeCell="K179" sqref="K179"/>
    </sheetView>
  </sheetViews>
  <sheetFormatPr defaultRowHeight="15" x14ac:dyDescent="0.25"/>
  <cols>
    <col min="1" max="1" width="12.5703125" customWidth="1"/>
    <col min="2" max="2" width="18.28515625" customWidth="1"/>
    <col min="3" max="3" width="11.85546875" customWidth="1"/>
    <col min="4" max="4" width="13.28515625" customWidth="1"/>
    <col min="5" max="5" width="11.42578125" customWidth="1"/>
    <col min="6" max="6" width="13.28515625" customWidth="1"/>
    <col min="7" max="7" width="12.7109375" customWidth="1"/>
    <col min="8" max="8" width="13.42578125" customWidth="1"/>
    <col min="9" max="9" width="14.7109375" customWidth="1"/>
    <col min="10" max="10" width="14.28515625" customWidth="1"/>
    <col min="11" max="11" width="12.5703125" customWidth="1"/>
    <col min="12" max="12" width="12.140625" customWidth="1"/>
    <col min="13" max="13" width="15.7109375" customWidth="1"/>
    <col min="14" max="14" width="12.5703125" customWidth="1"/>
    <col min="15" max="15" width="14.28515625" customWidth="1"/>
    <col min="16" max="16" width="13.5703125" customWidth="1"/>
    <col min="17" max="17" width="11" customWidth="1"/>
    <col min="21" max="21" width="9.85546875" customWidth="1"/>
    <col min="31" max="31" width="11.7109375" customWidth="1"/>
  </cols>
  <sheetData>
    <row r="1" spans="1:16" ht="15" customHeight="1" x14ac:dyDescent="0.25">
      <c r="A1" s="516" t="s">
        <v>0</v>
      </c>
      <c r="B1" s="516"/>
      <c r="C1" s="516"/>
      <c r="D1" s="516"/>
      <c r="O1" s="18"/>
    </row>
    <row r="2" spans="1:16" ht="15" customHeight="1" x14ac:dyDescent="0.25">
      <c r="A2" s="516"/>
      <c r="B2" s="516"/>
      <c r="C2" s="516"/>
      <c r="D2" s="516"/>
    </row>
    <row r="3" spans="1:16" ht="12" customHeight="1" x14ac:dyDescent="0.25">
      <c r="A3" s="516"/>
      <c r="B3" s="516"/>
      <c r="C3" s="516"/>
      <c r="D3" s="516"/>
    </row>
    <row r="4" spans="1:16" ht="18.75" x14ac:dyDescent="0.25">
      <c r="A4" s="1"/>
      <c r="B4" s="1"/>
      <c r="C4" s="1"/>
    </row>
    <row r="5" spans="1:16" x14ac:dyDescent="0.25">
      <c r="A5" s="365"/>
      <c r="B5" s="365"/>
      <c r="C5" s="365"/>
      <c r="D5" s="365"/>
      <c r="E5" s="365"/>
      <c r="F5" s="365"/>
      <c r="G5" s="365"/>
      <c r="H5" s="365"/>
      <c r="I5" s="365"/>
      <c r="J5" s="365"/>
      <c r="K5" s="365"/>
      <c r="L5" s="365"/>
    </row>
    <row r="6" spans="1:16" ht="18.75" x14ac:dyDescent="0.3">
      <c r="A6" s="364" t="s">
        <v>375</v>
      </c>
    </row>
    <row r="7" spans="1:16" s="31" customFormat="1" x14ac:dyDescent="0.25">
      <c r="A7" s="31" t="s">
        <v>188</v>
      </c>
    </row>
    <row r="8" spans="1:16" s="31" customFormat="1" x14ac:dyDescent="0.25">
      <c r="A8" s="31" t="s">
        <v>189</v>
      </c>
    </row>
    <row r="9" spans="1:16" s="31" customFormat="1" x14ac:dyDescent="0.25">
      <c r="A9" s="31" t="s">
        <v>190</v>
      </c>
    </row>
    <row r="10" spans="1:16" s="31" customFormat="1" x14ac:dyDescent="0.25">
      <c r="A10" s="31" t="s">
        <v>191</v>
      </c>
    </row>
    <row r="11" spans="1:16" x14ac:dyDescent="0.25">
      <c r="A11" s="151"/>
      <c r="B11" s="18"/>
      <c r="C11" s="18"/>
      <c r="D11" s="18"/>
      <c r="E11" s="18"/>
      <c r="F11" s="18"/>
      <c r="G11" s="18"/>
    </row>
    <row r="12" spans="1:16" s="31" customFormat="1" x14ac:dyDescent="0.25">
      <c r="A12" s="436"/>
      <c r="B12" s="362" t="s">
        <v>192</v>
      </c>
      <c r="C12" s="436"/>
    </row>
    <row r="13" spans="1:16" s="31" customFormat="1" x14ac:dyDescent="0.25">
      <c r="A13" s="129" t="s">
        <v>193</v>
      </c>
      <c r="B13" s="362"/>
      <c r="C13" s="436"/>
    </row>
    <row r="14" spans="1:16" s="31" customFormat="1" ht="15.75" thickBot="1" x14ac:dyDescent="0.3">
      <c r="A14" s="362" t="s">
        <v>194</v>
      </c>
      <c r="B14" s="129"/>
      <c r="C14" s="436"/>
    </row>
    <row r="15" spans="1:16" x14ac:dyDescent="0.25">
      <c r="A15" s="128"/>
      <c r="B15" s="517" t="s">
        <v>85</v>
      </c>
      <c r="C15" s="520" t="s">
        <v>195</v>
      </c>
      <c r="D15" s="523" t="s">
        <v>196</v>
      </c>
      <c r="E15" s="517" t="s">
        <v>226</v>
      </c>
      <c r="F15" s="526"/>
      <c r="G15" s="526"/>
      <c r="H15" s="527"/>
      <c r="I15" s="517" t="s">
        <v>197</v>
      </c>
      <c r="J15" s="526"/>
      <c r="K15" s="526"/>
      <c r="L15" s="527"/>
      <c r="M15" s="517" t="s">
        <v>210</v>
      </c>
      <c r="N15" s="526"/>
      <c r="O15" s="526"/>
      <c r="P15" s="527"/>
    </row>
    <row r="16" spans="1:16" x14ac:dyDescent="0.25">
      <c r="A16" s="128"/>
      <c r="B16" s="518"/>
      <c r="C16" s="521"/>
      <c r="D16" s="524"/>
      <c r="E16" s="518" t="s">
        <v>198</v>
      </c>
      <c r="F16" s="528"/>
      <c r="G16" s="528" t="s">
        <v>199</v>
      </c>
      <c r="H16" s="546"/>
      <c r="I16" s="518" t="s">
        <v>198</v>
      </c>
      <c r="J16" s="528"/>
      <c r="K16" s="528" t="s">
        <v>199</v>
      </c>
      <c r="L16" s="546"/>
      <c r="M16" s="518" t="s">
        <v>198</v>
      </c>
      <c r="N16" s="528"/>
      <c r="O16" s="528" t="s">
        <v>199</v>
      </c>
      <c r="P16" s="546"/>
    </row>
    <row r="17" spans="1:23" ht="15.75" thickBot="1" x14ac:dyDescent="0.3">
      <c r="A17" s="128"/>
      <c r="B17" s="519"/>
      <c r="C17" s="522"/>
      <c r="D17" s="525"/>
      <c r="E17" s="130" t="s">
        <v>200</v>
      </c>
      <c r="F17" s="14" t="s">
        <v>201</v>
      </c>
      <c r="G17" s="14" t="s">
        <v>200</v>
      </c>
      <c r="H17" s="131" t="s">
        <v>201</v>
      </c>
      <c r="I17" s="130" t="s">
        <v>200</v>
      </c>
      <c r="J17" s="14" t="s">
        <v>201</v>
      </c>
      <c r="K17" s="14" t="s">
        <v>200</v>
      </c>
      <c r="L17" s="131" t="s">
        <v>201</v>
      </c>
      <c r="M17" s="341" t="s">
        <v>200</v>
      </c>
      <c r="N17" s="340" t="s">
        <v>201</v>
      </c>
      <c r="O17" s="340" t="s">
        <v>200</v>
      </c>
      <c r="P17" s="342" t="s">
        <v>201</v>
      </c>
    </row>
    <row r="18" spans="1:23" x14ac:dyDescent="0.25">
      <c r="A18" s="128"/>
      <c r="B18" s="547" t="s">
        <v>202</v>
      </c>
      <c r="C18" s="132" t="s">
        <v>203</v>
      </c>
      <c r="D18" s="550">
        <v>1.4</v>
      </c>
      <c r="E18" s="133">
        <v>6.8</v>
      </c>
      <c r="F18" s="132">
        <v>0.2</v>
      </c>
      <c r="G18" s="132">
        <v>12.8</v>
      </c>
      <c r="H18" s="134">
        <v>0.2</v>
      </c>
      <c r="I18" s="409"/>
      <c r="J18" s="410"/>
      <c r="K18" s="410"/>
      <c r="L18" s="411"/>
      <c r="M18" s="355" t="str">
        <f t="shared" ref="M18:P33" si="0">IF(I18="","",E18-I18)</f>
        <v/>
      </c>
      <c r="N18" s="356" t="str">
        <f t="shared" si="0"/>
        <v/>
      </c>
      <c r="O18" s="356" t="str">
        <f t="shared" si="0"/>
        <v/>
      </c>
      <c r="P18" s="357" t="str">
        <f t="shared" si="0"/>
        <v/>
      </c>
      <c r="S18" s="501" t="s">
        <v>373</v>
      </c>
      <c r="T18" s="501"/>
      <c r="U18" s="501"/>
      <c r="V18" s="501"/>
      <c r="W18" s="501"/>
    </row>
    <row r="19" spans="1:23" x14ac:dyDescent="0.25">
      <c r="A19" s="128"/>
      <c r="B19" s="548"/>
      <c r="C19" s="20" t="s">
        <v>117</v>
      </c>
      <c r="D19" s="551"/>
      <c r="E19" s="135">
        <v>1.1000000000000001</v>
      </c>
      <c r="F19" s="20">
        <v>0.2</v>
      </c>
      <c r="G19" s="20">
        <v>1.3</v>
      </c>
      <c r="H19" s="136">
        <v>0.2</v>
      </c>
      <c r="I19" s="412"/>
      <c r="J19" s="413"/>
      <c r="K19" s="413"/>
      <c r="L19" s="414"/>
      <c r="M19" s="344" t="str">
        <f t="shared" si="0"/>
        <v/>
      </c>
      <c r="N19" s="354" t="str">
        <f t="shared" si="0"/>
        <v/>
      </c>
      <c r="O19" s="354" t="str">
        <f t="shared" si="0"/>
        <v/>
      </c>
      <c r="P19" s="358" t="str">
        <f t="shared" si="0"/>
        <v/>
      </c>
    </row>
    <row r="20" spans="1:23" x14ac:dyDescent="0.25">
      <c r="A20" s="128"/>
      <c r="B20" s="548"/>
      <c r="C20" s="20" t="s">
        <v>119</v>
      </c>
      <c r="D20" s="551"/>
      <c r="E20" s="135">
        <v>1.5</v>
      </c>
      <c r="F20" s="20">
        <v>0.4</v>
      </c>
      <c r="G20" s="20">
        <v>1.3</v>
      </c>
      <c r="H20" s="136">
        <v>0.2</v>
      </c>
      <c r="I20" s="412"/>
      <c r="J20" s="413"/>
      <c r="K20" s="413"/>
      <c r="L20" s="414"/>
      <c r="M20" s="344" t="str">
        <f t="shared" si="0"/>
        <v/>
      </c>
      <c r="N20" s="354" t="str">
        <f t="shared" si="0"/>
        <v/>
      </c>
      <c r="O20" s="354" t="str">
        <f t="shared" si="0"/>
        <v/>
      </c>
      <c r="P20" s="358" t="str">
        <f t="shared" si="0"/>
        <v/>
      </c>
    </row>
    <row r="21" spans="1:23" x14ac:dyDescent="0.25">
      <c r="A21" s="128"/>
      <c r="B21" s="548"/>
      <c r="C21" s="20" t="s">
        <v>203</v>
      </c>
      <c r="D21" s="551">
        <v>4.9000000000000004</v>
      </c>
      <c r="E21" s="135">
        <v>7.7</v>
      </c>
      <c r="F21" s="20">
        <v>0.6</v>
      </c>
      <c r="G21" s="20">
        <v>12.8</v>
      </c>
      <c r="H21" s="136">
        <v>0.4</v>
      </c>
      <c r="I21" s="412"/>
      <c r="J21" s="413"/>
      <c r="K21" s="413"/>
      <c r="L21" s="414"/>
      <c r="M21" s="344" t="str">
        <f t="shared" si="0"/>
        <v/>
      </c>
      <c r="N21" s="354" t="str">
        <f t="shared" si="0"/>
        <v/>
      </c>
      <c r="O21" s="354" t="str">
        <f t="shared" si="0"/>
        <v/>
      </c>
      <c r="P21" s="358" t="str">
        <f t="shared" si="0"/>
        <v/>
      </c>
    </row>
    <row r="22" spans="1:23" x14ac:dyDescent="0.25">
      <c r="A22" s="128"/>
      <c r="B22" s="548"/>
      <c r="C22" s="20" t="s">
        <v>117</v>
      </c>
      <c r="D22" s="551"/>
      <c r="E22" s="135">
        <v>2</v>
      </c>
      <c r="F22" s="20">
        <v>0.2</v>
      </c>
      <c r="G22" s="20">
        <v>2.2000000000000002</v>
      </c>
      <c r="H22" s="136">
        <v>0.3</v>
      </c>
      <c r="I22" s="412"/>
      <c r="J22" s="413"/>
      <c r="K22" s="413"/>
      <c r="L22" s="414"/>
      <c r="M22" s="344" t="str">
        <f t="shared" si="0"/>
        <v/>
      </c>
      <c r="N22" s="354" t="str">
        <f t="shared" si="0"/>
        <v/>
      </c>
      <c r="O22" s="354" t="str">
        <f t="shared" si="0"/>
        <v/>
      </c>
      <c r="P22" s="358" t="str">
        <f t="shared" si="0"/>
        <v/>
      </c>
    </row>
    <row r="23" spans="1:23" x14ac:dyDescent="0.25">
      <c r="A23" s="128"/>
      <c r="B23" s="548"/>
      <c r="C23" s="20" t="s">
        <v>119</v>
      </c>
      <c r="D23" s="551"/>
      <c r="E23" s="135">
        <v>1.4</v>
      </c>
      <c r="F23" s="20">
        <v>0.3</v>
      </c>
      <c r="G23" s="20">
        <v>1.1000000000000001</v>
      </c>
      <c r="H23" s="136">
        <v>0.2</v>
      </c>
      <c r="I23" s="412"/>
      <c r="J23" s="413"/>
      <c r="K23" s="413"/>
      <c r="L23" s="414"/>
      <c r="M23" s="344" t="str">
        <f t="shared" si="0"/>
        <v/>
      </c>
      <c r="N23" s="354" t="str">
        <f t="shared" si="0"/>
        <v/>
      </c>
      <c r="O23" s="354" t="str">
        <f t="shared" si="0"/>
        <v/>
      </c>
      <c r="P23" s="358" t="str">
        <f t="shared" si="0"/>
        <v/>
      </c>
    </row>
    <row r="24" spans="1:23" x14ac:dyDescent="0.25">
      <c r="A24" s="128"/>
      <c r="B24" s="548"/>
      <c r="C24" s="20" t="s">
        <v>203</v>
      </c>
      <c r="D24" s="551">
        <v>9.9</v>
      </c>
      <c r="E24" s="135">
        <v>8.8000000000000007</v>
      </c>
      <c r="F24" s="20">
        <v>1.3</v>
      </c>
      <c r="G24" s="20">
        <v>10.1</v>
      </c>
      <c r="H24" s="136">
        <v>0.1</v>
      </c>
      <c r="I24" s="412"/>
      <c r="J24" s="413"/>
      <c r="K24" s="413"/>
      <c r="L24" s="414"/>
      <c r="M24" s="344" t="str">
        <f t="shared" si="0"/>
        <v/>
      </c>
      <c r="N24" s="354" t="str">
        <f t="shared" si="0"/>
        <v/>
      </c>
      <c r="O24" s="354" t="str">
        <f t="shared" si="0"/>
        <v/>
      </c>
      <c r="P24" s="358" t="str">
        <f t="shared" si="0"/>
        <v/>
      </c>
    </row>
    <row r="25" spans="1:23" x14ac:dyDescent="0.25">
      <c r="A25" s="128"/>
      <c r="B25" s="548"/>
      <c r="C25" s="20" t="s">
        <v>117</v>
      </c>
      <c r="D25" s="551"/>
      <c r="E25" s="135">
        <v>2.6</v>
      </c>
      <c r="F25" s="20">
        <v>0.2</v>
      </c>
      <c r="G25" s="20">
        <v>2.9</v>
      </c>
      <c r="H25" s="136">
        <v>0.2</v>
      </c>
      <c r="I25" s="412"/>
      <c r="J25" s="413"/>
      <c r="K25" s="413"/>
      <c r="L25" s="414"/>
      <c r="M25" s="344" t="str">
        <f t="shared" si="0"/>
        <v/>
      </c>
      <c r="N25" s="354" t="str">
        <f t="shared" si="0"/>
        <v/>
      </c>
      <c r="O25" s="354" t="str">
        <f t="shared" si="0"/>
        <v/>
      </c>
      <c r="P25" s="358" t="str">
        <f t="shared" si="0"/>
        <v/>
      </c>
    </row>
    <row r="26" spans="1:23" ht="15.75" thickBot="1" x14ac:dyDescent="0.3">
      <c r="A26" s="128"/>
      <c r="B26" s="549"/>
      <c r="C26" s="137" t="s">
        <v>119</v>
      </c>
      <c r="D26" s="552"/>
      <c r="E26" s="138">
        <v>2.6</v>
      </c>
      <c r="F26" s="137">
        <v>0.3</v>
      </c>
      <c r="G26" s="137">
        <v>2.2999999999999998</v>
      </c>
      <c r="H26" s="139">
        <v>0.1</v>
      </c>
      <c r="I26" s="415">
        <v>3.1</v>
      </c>
      <c r="J26" s="416">
        <v>0.9</v>
      </c>
      <c r="K26" s="416">
        <v>2.5</v>
      </c>
      <c r="L26" s="417">
        <v>-0.4</v>
      </c>
      <c r="M26" s="359">
        <f t="shared" si="0"/>
        <v>-0.5</v>
      </c>
      <c r="N26" s="360">
        <f t="shared" si="0"/>
        <v>-0.60000000000000009</v>
      </c>
      <c r="O26" s="360">
        <f t="shared" si="0"/>
        <v>-0.20000000000000018</v>
      </c>
      <c r="P26" s="361">
        <f t="shared" si="0"/>
        <v>0.5</v>
      </c>
    </row>
    <row r="27" spans="1:23" x14ac:dyDescent="0.25">
      <c r="A27" s="128"/>
      <c r="B27" s="547" t="s">
        <v>94</v>
      </c>
      <c r="C27" s="132" t="s">
        <v>203</v>
      </c>
      <c r="D27" s="550">
        <v>1.4</v>
      </c>
      <c r="E27" s="133">
        <v>7.3</v>
      </c>
      <c r="F27" s="132">
        <v>0</v>
      </c>
      <c r="G27" s="132">
        <v>13.9</v>
      </c>
      <c r="H27" s="134">
        <v>-0.5</v>
      </c>
      <c r="I27" s="409"/>
      <c r="J27" s="410"/>
      <c r="K27" s="410"/>
      <c r="L27" s="411"/>
      <c r="M27" s="355" t="str">
        <f>IF(I27="","",E27-I27)</f>
        <v/>
      </c>
      <c r="N27" s="356" t="str">
        <f t="shared" si="0"/>
        <v/>
      </c>
      <c r="O27" s="356" t="str">
        <f t="shared" si="0"/>
        <v/>
      </c>
      <c r="P27" s="357" t="str">
        <f t="shared" si="0"/>
        <v/>
      </c>
    </row>
    <row r="28" spans="1:23" x14ac:dyDescent="0.25">
      <c r="A28" s="128"/>
      <c r="B28" s="548"/>
      <c r="C28" s="20" t="s">
        <v>117</v>
      </c>
      <c r="D28" s="551"/>
      <c r="E28" s="135">
        <v>4.7</v>
      </c>
      <c r="F28" s="20">
        <v>0.2</v>
      </c>
      <c r="G28" s="20">
        <v>5.0999999999999996</v>
      </c>
      <c r="H28" s="136">
        <v>-0.1</v>
      </c>
      <c r="I28" s="412"/>
      <c r="J28" s="413"/>
      <c r="K28" s="413"/>
      <c r="L28" s="414"/>
      <c r="M28" s="344" t="str">
        <f t="shared" ref="M28:P53" si="1">IF(I28="","",E28-I28)</f>
        <v/>
      </c>
      <c r="N28" s="354" t="str">
        <f t="shared" si="0"/>
        <v/>
      </c>
      <c r="O28" s="354" t="str">
        <f t="shared" si="0"/>
        <v/>
      </c>
      <c r="P28" s="358" t="str">
        <f t="shared" si="0"/>
        <v/>
      </c>
    </row>
    <row r="29" spans="1:23" x14ac:dyDescent="0.25">
      <c r="A29" s="128"/>
      <c r="B29" s="548"/>
      <c r="C29" s="20" t="s">
        <v>119</v>
      </c>
      <c r="D29" s="551"/>
      <c r="E29" s="135">
        <v>11</v>
      </c>
      <c r="F29" s="20">
        <v>0.4</v>
      </c>
      <c r="G29" s="20">
        <v>11.2</v>
      </c>
      <c r="H29" s="136">
        <v>-0.3</v>
      </c>
      <c r="I29" s="412"/>
      <c r="J29" s="413"/>
      <c r="K29" s="413"/>
      <c r="L29" s="414"/>
      <c r="M29" s="344" t="str">
        <f t="shared" si="1"/>
        <v/>
      </c>
      <c r="N29" s="354" t="str">
        <f t="shared" si="0"/>
        <v/>
      </c>
      <c r="O29" s="354" t="str">
        <f t="shared" si="0"/>
        <v/>
      </c>
      <c r="P29" s="358" t="str">
        <f t="shared" si="0"/>
        <v/>
      </c>
    </row>
    <row r="30" spans="1:23" x14ac:dyDescent="0.25">
      <c r="A30" s="128"/>
      <c r="B30" s="548"/>
      <c r="C30" s="20" t="s">
        <v>203</v>
      </c>
      <c r="D30" s="551">
        <v>4.9000000000000004</v>
      </c>
      <c r="E30" s="135">
        <v>8.1</v>
      </c>
      <c r="F30" s="20">
        <v>0.4</v>
      </c>
      <c r="G30" s="20">
        <v>13.3</v>
      </c>
      <c r="H30" s="136">
        <v>0.2</v>
      </c>
      <c r="I30" s="412"/>
      <c r="J30" s="413"/>
      <c r="K30" s="413"/>
      <c r="L30" s="414"/>
      <c r="M30" s="344" t="str">
        <f t="shared" si="1"/>
        <v/>
      </c>
      <c r="N30" s="354" t="str">
        <f t="shared" si="0"/>
        <v/>
      </c>
      <c r="O30" s="354" t="str">
        <f t="shared" si="0"/>
        <v/>
      </c>
      <c r="P30" s="358" t="str">
        <f t="shared" si="0"/>
        <v/>
      </c>
    </row>
    <row r="31" spans="1:23" x14ac:dyDescent="0.25">
      <c r="A31" s="128"/>
      <c r="B31" s="548"/>
      <c r="C31" s="20" t="s">
        <v>117</v>
      </c>
      <c r="D31" s="551"/>
      <c r="E31" s="135">
        <v>5.9</v>
      </c>
      <c r="F31" s="20">
        <v>0.4</v>
      </c>
      <c r="G31" s="20">
        <v>6</v>
      </c>
      <c r="H31" s="136">
        <v>0</v>
      </c>
      <c r="I31" s="412"/>
      <c r="J31" s="413"/>
      <c r="K31" s="413"/>
      <c r="L31" s="414"/>
      <c r="M31" s="344" t="str">
        <f t="shared" si="1"/>
        <v/>
      </c>
      <c r="N31" s="354" t="str">
        <f t="shared" si="0"/>
        <v/>
      </c>
      <c r="O31" s="354" t="str">
        <f t="shared" si="0"/>
        <v/>
      </c>
      <c r="P31" s="358" t="str">
        <f t="shared" si="0"/>
        <v/>
      </c>
    </row>
    <row r="32" spans="1:23" x14ac:dyDescent="0.25">
      <c r="A32" s="128"/>
      <c r="B32" s="548"/>
      <c r="C32" s="20" t="s">
        <v>119</v>
      </c>
      <c r="D32" s="551"/>
      <c r="E32" s="135">
        <v>11.8</v>
      </c>
      <c r="F32" s="20">
        <v>0.5</v>
      </c>
      <c r="G32" s="20">
        <v>11.9</v>
      </c>
      <c r="H32" s="136">
        <v>-0.3</v>
      </c>
      <c r="I32" s="412"/>
      <c r="J32" s="413"/>
      <c r="K32" s="413"/>
      <c r="L32" s="414"/>
      <c r="M32" s="344" t="str">
        <f t="shared" si="1"/>
        <v/>
      </c>
      <c r="N32" s="354" t="str">
        <f t="shared" si="0"/>
        <v/>
      </c>
      <c r="O32" s="354" t="str">
        <f t="shared" si="0"/>
        <v/>
      </c>
      <c r="P32" s="358" t="str">
        <f t="shared" si="0"/>
        <v/>
      </c>
    </row>
    <row r="33" spans="1:16" x14ac:dyDescent="0.25">
      <c r="A33" s="128"/>
      <c r="B33" s="548"/>
      <c r="C33" s="20" t="s">
        <v>203</v>
      </c>
      <c r="D33" s="551">
        <v>9.9</v>
      </c>
      <c r="E33" s="135">
        <v>9.1</v>
      </c>
      <c r="F33" s="20">
        <v>1.1000000000000001</v>
      </c>
      <c r="G33" s="20">
        <v>10.6</v>
      </c>
      <c r="H33" s="136">
        <v>0</v>
      </c>
      <c r="I33" s="412"/>
      <c r="J33" s="413"/>
      <c r="K33" s="413"/>
      <c r="L33" s="414"/>
      <c r="M33" s="344" t="str">
        <f t="shared" si="1"/>
        <v/>
      </c>
      <c r="N33" s="354" t="str">
        <f t="shared" si="0"/>
        <v/>
      </c>
      <c r="O33" s="354" t="str">
        <f t="shared" si="0"/>
        <v/>
      </c>
      <c r="P33" s="358" t="str">
        <f t="shared" si="0"/>
        <v/>
      </c>
    </row>
    <row r="34" spans="1:16" x14ac:dyDescent="0.25">
      <c r="A34" s="128"/>
      <c r="B34" s="548"/>
      <c r="C34" s="20" t="s">
        <v>117</v>
      </c>
      <c r="D34" s="551"/>
      <c r="E34" s="135">
        <v>6.5</v>
      </c>
      <c r="F34" s="20">
        <v>0.3</v>
      </c>
      <c r="G34" s="20">
        <v>6.6</v>
      </c>
      <c r="H34" s="136">
        <v>-0.1</v>
      </c>
      <c r="I34" s="412"/>
      <c r="J34" s="413"/>
      <c r="K34" s="413"/>
      <c r="L34" s="414"/>
      <c r="M34" s="344" t="str">
        <f t="shared" si="1"/>
        <v/>
      </c>
      <c r="N34" s="354" t="str">
        <f t="shared" si="1"/>
        <v/>
      </c>
      <c r="O34" s="354" t="str">
        <f t="shared" si="1"/>
        <v/>
      </c>
      <c r="P34" s="358" t="str">
        <f t="shared" si="1"/>
        <v/>
      </c>
    </row>
    <row r="35" spans="1:16" ht="15.75" thickBot="1" x14ac:dyDescent="0.3">
      <c r="A35" s="128"/>
      <c r="B35" s="549"/>
      <c r="C35" s="137" t="s">
        <v>119</v>
      </c>
      <c r="D35" s="552"/>
      <c r="E35" s="138">
        <v>12.8</v>
      </c>
      <c r="F35" s="137">
        <v>0.6</v>
      </c>
      <c r="G35" s="137">
        <v>12.8</v>
      </c>
      <c r="H35" s="139">
        <v>-0.3</v>
      </c>
      <c r="I35" s="415">
        <v>12.6</v>
      </c>
      <c r="J35" s="416">
        <v>0.6</v>
      </c>
      <c r="K35" s="416">
        <v>12.1</v>
      </c>
      <c r="L35" s="417">
        <v>0</v>
      </c>
      <c r="M35" s="359">
        <f t="shared" si="1"/>
        <v>0.20000000000000107</v>
      </c>
      <c r="N35" s="360">
        <f t="shared" si="1"/>
        <v>0</v>
      </c>
      <c r="O35" s="360">
        <f t="shared" si="1"/>
        <v>0.70000000000000107</v>
      </c>
      <c r="P35" s="361">
        <f t="shared" si="1"/>
        <v>-0.3</v>
      </c>
    </row>
    <row r="36" spans="1:16" x14ac:dyDescent="0.25">
      <c r="A36" s="128"/>
      <c r="B36" s="547" t="s">
        <v>204</v>
      </c>
      <c r="C36" s="132" t="s">
        <v>203</v>
      </c>
      <c r="D36" s="550">
        <v>1.4</v>
      </c>
      <c r="E36" s="133">
        <v>7.1</v>
      </c>
      <c r="F36" s="132">
        <v>0.3</v>
      </c>
      <c r="G36" s="132">
        <v>13.5</v>
      </c>
      <c r="H36" s="134">
        <v>0.2</v>
      </c>
      <c r="I36" s="409"/>
      <c r="J36" s="410"/>
      <c r="K36" s="410"/>
      <c r="L36" s="411"/>
      <c r="M36" s="355" t="str">
        <f t="shared" si="1"/>
        <v/>
      </c>
      <c r="N36" s="356" t="str">
        <f t="shared" si="1"/>
        <v/>
      </c>
      <c r="O36" s="356" t="str">
        <f t="shared" si="1"/>
        <v/>
      </c>
      <c r="P36" s="357" t="str">
        <f t="shared" si="1"/>
        <v/>
      </c>
    </row>
    <row r="37" spans="1:16" x14ac:dyDescent="0.25">
      <c r="A37" s="128"/>
      <c r="B37" s="548"/>
      <c r="C37" s="20" t="s">
        <v>117</v>
      </c>
      <c r="D37" s="551"/>
      <c r="E37" s="135">
        <v>1</v>
      </c>
      <c r="F37" s="20">
        <v>0.3</v>
      </c>
      <c r="G37" s="20">
        <v>1.4</v>
      </c>
      <c r="H37" s="136">
        <v>0.6</v>
      </c>
      <c r="I37" s="412"/>
      <c r="J37" s="413"/>
      <c r="K37" s="413"/>
      <c r="L37" s="414"/>
      <c r="M37" s="344" t="str">
        <f t="shared" si="1"/>
        <v/>
      </c>
      <c r="N37" s="354" t="str">
        <f t="shared" si="1"/>
        <v/>
      </c>
      <c r="O37" s="354" t="str">
        <f t="shared" si="1"/>
        <v/>
      </c>
      <c r="P37" s="358" t="str">
        <f t="shared" si="1"/>
        <v/>
      </c>
    </row>
    <row r="38" spans="1:16" x14ac:dyDescent="0.25">
      <c r="A38" s="128"/>
      <c r="B38" s="548"/>
      <c r="C38" s="20" t="s">
        <v>119</v>
      </c>
      <c r="D38" s="551"/>
      <c r="E38" s="135">
        <v>1.5</v>
      </c>
      <c r="F38" s="20">
        <v>0.2</v>
      </c>
      <c r="G38" s="20">
        <v>1.7</v>
      </c>
      <c r="H38" s="136">
        <v>0.6</v>
      </c>
      <c r="I38" s="412"/>
      <c r="J38" s="413"/>
      <c r="K38" s="413"/>
      <c r="L38" s="414"/>
      <c r="M38" s="344" t="str">
        <f t="shared" si="1"/>
        <v/>
      </c>
      <c r="N38" s="354" t="str">
        <f t="shared" si="1"/>
        <v/>
      </c>
      <c r="O38" s="354" t="str">
        <f t="shared" si="1"/>
        <v/>
      </c>
      <c r="P38" s="358" t="str">
        <f t="shared" si="1"/>
        <v/>
      </c>
    </row>
    <row r="39" spans="1:16" x14ac:dyDescent="0.25">
      <c r="A39" s="128"/>
      <c r="B39" s="548"/>
      <c r="C39" s="20" t="s">
        <v>203</v>
      </c>
      <c r="D39" s="551">
        <v>4.9000000000000004</v>
      </c>
      <c r="E39" s="135">
        <v>8.4</v>
      </c>
      <c r="F39" s="20">
        <v>0.5</v>
      </c>
      <c r="G39" s="20">
        <v>13.6</v>
      </c>
      <c r="H39" s="136">
        <v>0.6</v>
      </c>
      <c r="I39" s="412"/>
      <c r="J39" s="413"/>
      <c r="K39" s="413"/>
      <c r="L39" s="414"/>
      <c r="M39" s="344" t="str">
        <f t="shared" si="1"/>
        <v/>
      </c>
      <c r="N39" s="354" t="str">
        <f t="shared" si="1"/>
        <v/>
      </c>
      <c r="O39" s="354" t="str">
        <f t="shared" si="1"/>
        <v/>
      </c>
      <c r="P39" s="358" t="str">
        <f t="shared" si="1"/>
        <v/>
      </c>
    </row>
    <row r="40" spans="1:16" x14ac:dyDescent="0.25">
      <c r="A40" s="128"/>
      <c r="B40" s="548"/>
      <c r="C40" s="20" t="s">
        <v>117</v>
      </c>
      <c r="D40" s="551"/>
      <c r="E40" s="135">
        <v>2.1</v>
      </c>
      <c r="F40" s="20">
        <v>0.3</v>
      </c>
      <c r="G40" s="20">
        <v>2.2000000000000002</v>
      </c>
      <c r="H40" s="136">
        <v>0.6</v>
      </c>
      <c r="I40" s="412"/>
      <c r="J40" s="413"/>
      <c r="K40" s="413"/>
      <c r="L40" s="414"/>
      <c r="M40" s="344" t="str">
        <f t="shared" si="1"/>
        <v/>
      </c>
      <c r="N40" s="354" t="str">
        <f t="shared" si="1"/>
        <v/>
      </c>
      <c r="O40" s="354" t="str">
        <f t="shared" si="1"/>
        <v/>
      </c>
      <c r="P40" s="358" t="str">
        <f t="shared" si="1"/>
        <v/>
      </c>
    </row>
    <row r="41" spans="1:16" x14ac:dyDescent="0.25">
      <c r="A41" s="128"/>
      <c r="B41" s="548"/>
      <c r="C41" s="20" t="s">
        <v>119</v>
      </c>
      <c r="D41" s="551"/>
      <c r="E41" s="135">
        <v>1.1000000000000001</v>
      </c>
      <c r="F41" s="20">
        <v>0.3</v>
      </c>
      <c r="G41" s="20">
        <v>1.2</v>
      </c>
      <c r="H41" s="136">
        <v>0.5</v>
      </c>
      <c r="I41" s="412"/>
      <c r="J41" s="413"/>
      <c r="K41" s="413"/>
      <c r="L41" s="414"/>
      <c r="M41" s="344" t="str">
        <f t="shared" si="1"/>
        <v/>
      </c>
      <c r="N41" s="354" t="str">
        <f t="shared" si="1"/>
        <v/>
      </c>
      <c r="O41" s="354" t="str">
        <f t="shared" si="1"/>
        <v/>
      </c>
      <c r="P41" s="358" t="str">
        <f t="shared" si="1"/>
        <v/>
      </c>
    </row>
    <row r="42" spans="1:16" x14ac:dyDescent="0.25">
      <c r="A42" s="128"/>
      <c r="B42" s="548"/>
      <c r="C42" s="20" t="s">
        <v>203</v>
      </c>
      <c r="D42" s="551">
        <v>9.9</v>
      </c>
      <c r="E42" s="135">
        <v>9.5</v>
      </c>
      <c r="F42" s="20">
        <v>1.2</v>
      </c>
      <c r="G42" s="20">
        <v>11.1</v>
      </c>
      <c r="H42" s="136">
        <v>0.4</v>
      </c>
      <c r="I42" s="412"/>
      <c r="J42" s="413"/>
      <c r="K42" s="413"/>
      <c r="L42" s="414"/>
      <c r="M42" s="344" t="str">
        <f t="shared" si="1"/>
        <v/>
      </c>
      <c r="N42" s="354" t="str">
        <f t="shared" si="1"/>
        <v/>
      </c>
      <c r="O42" s="354" t="str">
        <f t="shared" si="1"/>
        <v/>
      </c>
      <c r="P42" s="358" t="str">
        <f t="shared" si="1"/>
        <v/>
      </c>
    </row>
    <row r="43" spans="1:16" x14ac:dyDescent="0.25">
      <c r="A43" s="128"/>
      <c r="B43" s="548"/>
      <c r="C43" s="20" t="s">
        <v>117</v>
      </c>
      <c r="D43" s="551"/>
      <c r="E43" s="135">
        <v>2.4</v>
      </c>
      <c r="F43" s="20">
        <v>0.3</v>
      </c>
      <c r="G43" s="20">
        <v>2.6</v>
      </c>
      <c r="H43" s="136">
        <v>0.5</v>
      </c>
      <c r="I43" s="412"/>
      <c r="J43" s="413"/>
      <c r="K43" s="413"/>
      <c r="L43" s="414"/>
      <c r="M43" s="344" t="str">
        <f t="shared" si="1"/>
        <v/>
      </c>
      <c r="N43" s="354" t="str">
        <f t="shared" si="1"/>
        <v/>
      </c>
      <c r="O43" s="354" t="str">
        <f t="shared" si="1"/>
        <v/>
      </c>
      <c r="P43" s="358" t="str">
        <f t="shared" si="1"/>
        <v/>
      </c>
    </row>
    <row r="44" spans="1:16" ht="15.75" thickBot="1" x14ac:dyDescent="0.3">
      <c r="A44" s="128"/>
      <c r="B44" s="549"/>
      <c r="C44" s="137" t="s">
        <v>119</v>
      </c>
      <c r="D44" s="552"/>
      <c r="E44" s="138">
        <v>2</v>
      </c>
      <c r="F44" s="137">
        <v>0.3</v>
      </c>
      <c r="G44" s="137">
        <v>1.9</v>
      </c>
      <c r="H44" s="139">
        <v>0.4</v>
      </c>
      <c r="I44" s="415">
        <v>2.2999999999999998</v>
      </c>
      <c r="J44" s="416">
        <v>0.9</v>
      </c>
      <c r="K44" s="416">
        <v>1.6</v>
      </c>
      <c r="L44" s="417">
        <v>-0.1</v>
      </c>
      <c r="M44" s="359">
        <f t="shared" si="1"/>
        <v>-0.29999999999999982</v>
      </c>
      <c r="N44" s="360">
        <f t="shared" si="1"/>
        <v>-0.60000000000000009</v>
      </c>
      <c r="O44" s="360">
        <f t="shared" si="1"/>
        <v>0.29999999999999982</v>
      </c>
      <c r="P44" s="361">
        <f t="shared" si="1"/>
        <v>0.5</v>
      </c>
    </row>
    <row r="45" spans="1:16" x14ac:dyDescent="0.25">
      <c r="A45" s="128"/>
      <c r="B45" s="547" t="s">
        <v>151</v>
      </c>
      <c r="C45" s="132" t="s">
        <v>203</v>
      </c>
      <c r="D45" s="550">
        <v>1.4</v>
      </c>
      <c r="E45" s="133">
        <v>9.1999999999999993</v>
      </c>
      <c r="F45" s="132">
        <v>0.5</v>
      </c>
      <c r="G45" s="132">
        <v>14.7</v>
      </c>
      <c r="H45" s="134">
        <v>-0.6</v>
      </c>
      <c r="I45" s="409"/>
      <c r="J45" s="410"/>
      <c r="K45" s="410"/>
      <c r="L45" s="411"/>
      <c r="M45" s="355" t="str">
        <f t="shared" si="1"/>
        <v/>
      </c>
      <c r="N45" s="356" t="str">
        <f t="shared" si="1"/>
        <v/>
      </c>
      <c r="O45" s="356" t="str">
        <f t="shared" si="1"/>
        <v/>
      </c>
      <c r="P45" s="357" t="str">
        <f t="shared" si="1"/>
        <v/>
      </c>
    </row>
    <row r="46" spans="1:16" x14ac:dyDescent="0.25">
      <c r="A46" s="128"/>
      <c r="B46" s="548"/>
      <c r="C46" s="20" t="s">
        <v>117</v>
      </c>
      <c r="D46" s="551"/>
      <c r="E46" s="135">
        <v>9</v>
      </c>
      <c r="F46" s="20">
        <v>0.6</v>
      </c>
      <c r="G46" s="20">
        <v>9.3000000000000007</v>
      </c>
      <c r="H46" s="136">
        <v>0</v>
      </c>
      <c r="I46" s="412"/>
      <c r="J46" s="413"/>
      <c r="K46" s="413"/>
      <c r="L46" s="414"/>
      <c r="M46" s="344" t="str">
        <f t="shared" si="1"/>
        <v/>
      </c>
      <c r="N46" s="354" t="str">
        <f t="shared" si="1"/>
        <v/>
      </c>
      <c r="O46" s="354" t="str">
        <f t="shared" si="1"/>
        <v/>
      </c>
      <c r="P46" s="358" t="str">
        <f t="shared" si="1"/>
        <v/>
      </c>
    </row>
    <row r="47" spans="1:16" x14ac:dyDescent="0.25">
      <c r="A47" s="128"/>
      <c r="B47" s="548"/>
      <c r="C47" s="20" t="s">
        <v>119</v>
      </c>
      <c r="D47" s="551"/>
      <c r="E47" s="135">
        <v>19.399999999999999</v>
      </c>
      <c r="F47" s="20">
        <v>0.9</v>
      </c>
      <c r="G47" s="20">
        <v>19.5</v>
      </c>
      <c r="H47" s="136">
        <v>-0.2</v>
      </c>
      <c r="I47" s="412"/>
      <c r="J47" s="413"/>
      <c r="K47" s="413"/>
      <c r="L47" s="414"/>
      <c r="M47" s="344" t="str">
        <f t="shared" si="1"/>
        <v/>
      </c>
      <c r="N47" s="354" t="str">
        <f t="shared" si="1"/>
        <v/>
      </c>
      <c r="O47" s="354" t="str">
        <f t="shared" si="1"/>
        <v/>
      </c>
      <c r="P47" s="358" t="str">
        <f t="shared" si="1"/>
        <v/>
      </c>
    </row>
    <row r="48" spans="1:16" x14ac:dyDescent="0.25">
      <c r="A48" s="128"/>
      <c r="B48" s="548"/>
      <c r="C48" s="20" t="s">
        <v>203</v>
      </c>
      <c r="D48" s="551">
        <v>4.9000000000000004</v>
      </c>
      <c r="E48" s="135">
        <v>10</v>
      </c>
      <c r="F48" s="20">
        <v>0.7</v>
      </c>
      <c r="G48" s="20">
        <v>14.4</v>
      </c>
      <c r="H48" s="136">
        <v>0.1</v>
      </c>
      <c r="I48" s="412"/>
      <c r="J48" s="413"/>
      <c r="K48" s="413"/>
      <c r="L48" s="414"/>
      <c r="M48" s="344" t="str">
        <f t="shared" si="1"/>
        <v/>
      </c>
      <c r="N48" s="354" t="str">
        <f t="shared" si="1"/>
        <v/>
      </c>
      <c r="O48" s="354" t="str">
        <f t="shared" si="1"/>
        <v/>
      </c>
      <c r="P48" s="358" t="str">
        <f t="shared" si="1"/>
        <v/>
      </c>
    </row>
    <row r="49" spans="1:16" x14ac:dyDescent="0.25">
      <c r="A49" s="128"/>
      <c r="B49" s="548"/>
      <c r="C49" s="20" t="s">
        <v>117</v>
      </c>
      <c r="D49" s="551"/>
      <c r="E49" s="135">
        <v>9.9</v>
      </c>
      <c r="F49" s="20">
        <v>0.8</v>
      </c>
      <c r="G49" s="20">
        <v>9.9</v>
      </c>
      <c r="H49" s="136">
        <v>0</v>
      </c>
      <c r="I49" s="412"/>
      <c r="J49" s="413"/>
      <c r="K49" s="413"/>
      <c r="L49" s="414"/>
      <c r="M49" s="344" t="str">
        <f t="shared" si="1"/>
        <v/>
      </c>
      <c r="N49" s="354" t="str">
        <f t="shared" si="1"/>
        <v/>
      </c>
      <c r="O49" s="354" t="str">
        <f t="shared" si="1"/>
        <v/>
      </c>
      <c r="P49" s="358" t="str">
        <f t="shared" si="1"/>
        <v/>
      </c>
    </row>
    <row r="50" spans="1:16" x14ac:dyDescent="0.25">
      <c r="A50" s="128"/>
      <c r="B50" s="548"/>
      <c r="C50" s="20" t="s">
        <v>119</v>
      </c>
      <c r="D50" s="551"/>
      <c r="E50" s="135">
        <v>20</v>
      </c>
      <c r="F50" s="20">
        <v>1</v>
      </c>
      <c r="G50" s="20">
        <v>20.100000000000001</v>
      </c>
      <c r="H50" s="136">
        <v>-0.3</v>
      </c>
      <c r="I50" s="412"/>
      <c r="J50" s="413"/>
      <c r="K50" s="413"/>
      <c r="L50" s="414"/>
      <c r="M50" s="344" t="str">
        <f t="shared" si="1"/>
        <v/>
      </c>
      <c r="N50" s="354" t="str">
        <f t="shared" si="1"/>
        <v/>
      </c>
      <c r="O50" s="354" t="str">
        <f t="shared" si="1"/>
        <v/>
      </c>
      <c r="P50" s="358" t="str">
        <f t="shared" si="1"/>
        <v/>
      </c>
    </row>
    <row r="51" spans="1:16" x14ac:dyDescent="0.25">
      <c r="A51" s="128"/>
      <c r="B51" s="548"/>
      <c r="C51" s="20" t="s">
        <v>203</v>
      </c>
      <c r="D51" s="551">
        <v>9.9</v>
      </c>
      <c r="E51" s="135">
        <v>11</v>
      </c>
      <c r="F51" s="20">
        <v>1.5</v>
      </c>
      <c r="G51" s="20">
        <v>12</v>
      </c>
      <c r="H51" s="136">
        <v>0.1</v>
      </c>
      <c r="I51" s="412"/>
      <c r="J51" s="413"/>
      <c r="K51" s="413"/>
      <c r="L51" s="414"/>
      <c r="M51" s="344" t="str">
        <f t="shared" si="1"/>
        <v/>
      </c>
      <c r="N51" s="354" t="str">
        <f t="shared" si="1"/>
        <v/>
      </c>
      <c r="O51" s="354" t="str">
        <f t="shared" si="1"/>
        <v/>
      </c>
      <c r="P51" s="358" t="str">
        <f t="shared" si="1"/>
        <v/>
      </c>
    </row>
    <row r="52" spans="1:16" x14ac:dyDescent="0.25">
      <c r="A52" s="128"/>
      <c r="B52" s="548"/>
      <c r="C52" s="20" t="s">
        <v>117</v>
      </c>
      <c r="D52" s="551"/>
      <c r="E52" s="135">
        <v>10.4</v>
      </c>
      <c r="F52" s="20">
        <v>1</v>
      </c>
      <c r="G52" s="20">
        <v>10.3</v>
      </c>
      <c r="H52" s="136">
        <v>-0.1</v>
      </c>
      <c r="I52" s="412"/>
      <c r="J52" s="413"/>
      <c r="K52" s="413"/>
      <c r="L52" s="414"/>
      <c r="M52" s="344" t="str">
        <f t="shared" si="1"/>
        <v/>
      </c>
      <c r="N52" s="354" t="str">
        <f t="shared" si="1"/>
        <v/>
      </c>
      <c r="O52" s="354" t="str">
        <f t="shared" si="1"/>
        <v/>
      </c>
      <c r="P52" s="358" t="str">
        <f t="shared" si="1"/>
        <v/>
      </c>
    </row>
    <row r="53" spans="1:16" ht="15.75" thickBot="1" x14ac:dyDescent="0.3">
      <c r="A53" s="128"/>
      <c r="B53" s="549"/>
      <c r="C53" s="137" t="s">
        <v>119</v>
      </c>
      <c r="D53" s="552"/>
      <c r="E53" s="138">
        <v>20.5</v>
      </c>
      <c r="F53" s="137">
        <v>1.2</v>
      </c>
      <c r="G53" s="137">
        <v>20.5</v>
      </c>
      <c r="H53" s="139">
        <v>-0.2</v>
      </c>
      <c r="I53" s="415">
        <v>19.3</v>
      </c>
      <c r="J53" s="416">
        <v>0.8</v>
      </c>
      <c r="K53" s="416">
        <v>19</v>
      </c>
      <c r="L53" s="417">
        <v>0.3</v>
      </c>
      <c r="M53" s="359">
        <f t="shared" si="1"/>
        <v>1.1999999999999993</v>
      </c>
      <c r="N53" s="360">
        <f t="shared" si="1"/>
        <v>0.39999999999999991</v>
      </c>
      <c r="O53" s="360">
        <f t="shared" si="1"/>
        <v>1.5</v>
      </c>
      <c r="P53" s="361">
        <f t="shared" si="1"/>
        <v>-0.5</v>
      </c>
    </row>
    <row r="54" spans="1:16" x14ac:dyDescent="0.25">
      <c r="A54" s="128"/>
      <c r="B54" s="547" t="s">
        <v>205</v>
      </c>
      <c r="C54" s="132" t="s">
        <v>203</v>
      </c>
      <c r="D54" s="550">
        <v>3.2</v>
      </c>
      <c r="E54" s="133">
        <v>9.3000000000000007</v>
      </c>
      <c r="F54" s="132">
        <v>0.8</v>
      </c>
      <c r="G54" s="132">
        <v>14.7</v>
      </c>
      <c r="H54" s="134">
        <v>0.1</v>
      </c>
      <c r="I54" s="409"/>
      <c r="J54" s="410"/>
      <c r="K54" s="410"/>
      <c r="L54" s="411"/>
      <c r="M54" s="355" t="str">
        <f t="shared" ref="M54:M62" si="2">IF(I54="","",E54-I54)</f>
        <v/>
      </c>
      <c r="N54" s="356" t="str">
        <f t="shared" ref="N54:N62" si="3">IF(J54="","",F54-J54)</f>
        <v/>
      </c>
      <c r="O54" s="356" t="str">
        <f t="shared" ref="O54:O62" si="4">IF(K54="","",G54-K54)</f>
        <v/>
      </c>
      <c r="P54" s="357" t="str">
        <f t="shared" ref="P54:P62" si="5">IF(L54="","",H54-L54)</f>
        <v/>
      </c>
    </row>
    <row r="55" spans="1:16" x14ac:dyDescent="0.25">
      <c r="A55" s="128"/>
      <c r="B55" s="548"/>
      <c r="C55" s="20" t="s">
        <v>117</v>
      </c>
      <c r="D55" s="551"/>
      <c r="E55" s="135">
        <v>2.1</v>
      </c>
      <c r="F55" s="20">
        <v>0.3</v>
      </c>
      <c r="G55" s="20">
        <v>2.1</v>
      </c>
      <c r="H55" s="136">
        <v>0.3</v>
      </c>
      <c r="I55" s="412"/>
      <c r="J55" s="413"/>
      <c r="K55" s="413"/>
      <c r="L55" s="414"/>
      <c r="M55" s="344" t="str">
        <f t="shared" si="2"/>
        <v/>
      </c>
      <c r="N55" s="354" t="str">
        <f t="shared" si="3"/>
        <v/>
      </c>
      <c r="O55" s="354" t="str">
        <f t="shared" si="4"/>
        <v/>
      </c>
      <c r="P55" s="358" t="str">
        <f t="shared" si="5"/>
        <v/>
      </c>
    </row>
    <row r="56" spans="1:16" x14ac:dyDescent="0.25">
      <c r="A56" s="128"/>
      <c r="B56" s="548"/>
      <c r="C56" s="20" t="s">
        <v>119</v>
      </c>
      <c r="D56" s="551"/>
      <c r="E56" s="135">
        <v>1</v>
      </c>
      <c r="F56" s="20">
        <v>0.1</v>
      </c>
      <c r="G56" s="20">
        <v>1.1000000000000001</v>
      </c>
      <c r="H56" s="136">
        <v>0.3</v>
      </c>
      <c r="I56" s="412"/>
      <c r="J56" s="413"/>
      <c r="K56" s="413"/>
      <c r="L56" s="414"/>
      <c r="M56" s="344" t="str">
        <f t="shared" si="2"/>
        <v/>
      </c>
      <c r="N56" s="354" t="str">
        <f t="shared" si="3"/>
        <v/>
      </c>
      <c r="O56" s="354" t="str">
        <f t="shared" si="4"/>
        <v/>
      </c>
      <c r="P56" s="358" t="str">
        <f t="shared" si="5"/>
        <v/>
      </c>
    </row>
    <row r="57" spans="1:16" x14ac:dyDescent="0.25">
      <c r="A57" s="128"/>
      <c r="B57" s="548"/>
      <c r="C57" s="20" t="s">
        <v>203</v>
      </c>
      <c r="D57" s="551">
        <v>4.9000000000000004</v>
      </c>
      <c r="E57" s="135">
        <v>10</v>
      </c>
      <c r="F57" s="20">
        <v>1</v>
      </c>
      <c r="G57" s="20">
        <v>14.5</v>
      </c>
      <c r="H57" s="136">
        <v>0.3</v>
      </c>
      <c r="I57" s="412"/>
      <c r="J57" s="413"/>
      <c r="K57" s="413"/>
      <c r="L57" s="414"/>
      <c r="M57" s="344" t="str">
        <f t="shared" si="2"/>
        <v/>
      </c>
      <c r="N57" s="354" t="str">
        <f t="shared" si="3"/>
        <v/>
      </c>
      <c r="O57" s="354" t="str">
        <f t="shared" si="4"/>
        <v/>
      </c>
      <c r="P57" s="358" t="str">
        <f t="shared" si="5"/>
        <v/>
      </c>
    </row>
    <row r="58" spans="1:16" x14ac:dyDescent="0.25">
      <c r="A58" s="128"/>
      <c r="B58" s="548"/>
      <c r="C58" s="20" t="s">
        <v>117</v>
      </c>
      <c r="D58" s="551"/>
      <c r="E58" s="135">
        <v>2.4</v>
      </c>
      <c r="F58" s="20">
        <v>0.3</v>
      </c>
      <c r="G58" s="20">
        <v>2.2999999999999998</v>
      </c>
      <c r="H58" s="136">
        <v>0.3</v>
      </c>
      <c r="I58" s="412"/>
      <c r="J58" s="413"/>
      <c r="K58" s="413"/>
      <c r="L58" s="414"/>
      <c r="M58" s="344" t="str">
        <f t="shared" si="2"/>
        <v/>
      </c>
      <c r="N58" s="354" t="str">
        <f t="shared" si="3"/>
        <v/>
      </c>
      <c r="O58" s="354" t="str">
        <f t="shared" si="4"/>
        <v/>
      </c>
      <c r="P58" s="358" t="str">
        <f t="shared" si="5"/>
        <v/>
      </c>
    </row>
    <row r="59" spans="1:16" x14ac:dyDescent="0.25">
      <c r="A59" s="128"/>
      <c r="B59" s="548"/>
      <c r="C59" s="20" t="s">
        <v>119</v>
      </c>
      <c r="D59" s="551"/>
      <c r="E59" s="135">
        <v>1.1000000000000001</v>
      </c>
      <c r="F59" s="20">
        <v>0.1</v>
      </c>
      <c r="G59" s="20">
        <v>1.2</v>
      </c>
      <c r="H59" s="136">
        <v>0.2</v>
      </c>
      <c r="I59" s="412"/>
      <c r="J59" s="413"/>
      <c r="K59" s="413"/>
      <c r="L59" s="414"/>
      <c r="M59" s="344" t="str">
        <f t="shared" si="2"/>
        <v/>
      </c>
      <c r="N59" s="354" t="str">
        <f t="shared" si="3"/>
        <v/>
      </c>
      <c r="O59" s="354" t="str">
        <f t="shared" si="4"/>
        <v/>
      </c>
      <c r="P59" s="358" t="str">
        <f t="shared" si="5"/>
        <v/>
      </c>
    </row>
    <row r="60" spans="1:16" x14ac:dyDescent="0.25">
      <c r="A60" s="128"/>
      <c r="B60" s="548"/>
      <c r="C60" s="20" t="s">
        <v>203</v>
      </c>
      <c r="D60" s="551">
        <v>9.9</v>
      </c>
      <c r="E60" s="135">
        <v>10.7</v>
      </c>
      <c r="F60" s="20">
        <v>1.6</v>
      </c>
      <c r="G60" s="20">
        <v>12.2</v>
      </c>
      <c r="H60" s="136">
        <v>0.3</v>
      </c>
      <c r="I60" s="412"/>
      <c r="J60" s="413"/>
      <c r="K60" s="413"/>
      <c r="L60" s="414"/>
      <c r="M60" s="344" t="str">
        <f t="shared" si="2"/>
        <v/>
      </c>
      <c r="N60" s="354" t="str">
        <f t="shared" si="3"/>
        <v/>
      </c>
      <c r="O60" s="354" t="str">
        <f t="shared" si="4"/>
        <v/>
      </c>
      <c r="P60" s="358" t="str">
        <f t="shared" si="5"/>
        <v/>
      </c>
    </row>
    <row r="61" spans="1:16" x14ac:dyDescent="0.25">
      <c r="A61" s="128"/>
      <c r="B61" s="548"/>
      <c r="C61" s="20" t="s">
        <v>117</v>
      </c>
      <c r="D61" s="551"/>
      <c r="E61" s="135">
        <v>2.5</v>
      </c>
      <c r="F61" s="20">
        <v>0.3</v>
      </c>
      <c r="G61" s="20">
        <v>2.4</v>
      </c>
      <c r="H61" s="136">
        <v>0.3</v>
      </c>
      <c r="I61" s="412"/>
      <c r="J61" s="413"/>
      <c r="K61" s="413"/>
      <c r="L61" s="414"/>
      <c r="M61" s="344" t="str">
        <f t="shared" si="2"/>
        <v/>
      </c>
      <c r="N61" s="354" t="str">
        <f t="shared" si="3"/>
        <v/>
      </c>
      <c r="O61" s="354" t="str">
        <f t="shared" si="4"/>
        <v/>
      </c>
      <c r="P61" s="358" t="str">
        <f t="shared" si="5"/>
        <v/>
      </c>
    </row>
    <row r="62" spans="1:16" ht="15.75" thickBot="1" x14ac:dyDescent="0.3">
      <c r="A62" s="128"/>
      <c r="B62" s="549"/>
      <c r="C62" s="137" t="s">
        <v>119</v>
      </c>
      <c r="D62" s="552"/>
      <c r="E62" s="138">
        <v>1.3</v>
      </c>
      <c r="F62" s="137">
        <v>0.1</v>
      </c>
      <c r="G62" s="137">
        <v>1.1000000000000001</v>
      </c>
      <c r="H62" s="139">
        <v>0.2</v>
      </c>
      <c r="I62" s="415">
        <v>1.9</v>
      </c>
      <c r="J62" s="416">
        <v>1.4</v>
      </c>
      <c r="K62" s="416">
        <v>1.1000000000000001</v>
      </c>
      <c r="L62" s="417">
        <v>-0.2</v>
      </c>
      <c r="M62" s="359">
        <f t="shared" si="2"/>
        <v>-0.59999999999999987</v>
      </c>
      <c r="N62" s="360">
        <f t="shared" si="3"/>
        <v>-1.2999999999999998</v>
      </c>
      <c r="O62" s="360">
        <f t="shared" si="4"/>
        <v>0</v>
      </c>
      <c r="P62" s="361">
        <f t="shared" si="5"/>
        <v>0.4</v>
      </c>
    </row>
    <row r="63" spans="1:16" x14ac:dyDescent="0.25">
      <c r="A63" s="128"/>
      <c r="B63" s="127"/>
      <c r="C63" s="21"/>
      <c r="D63" s="127"/>
      <c r="E63" s="21"/>
      <c r="F63" s="21"/>
      <c r="G63" s="21"/>
      <c r="H63" s="21"/>
      <c r="I63" s="21"/>
      <c r="J63" s="21"/>
      <c r="K63" s="21"/>
      <c r="L63" s="21"/>
      <c r="M63" s="145"/>
      <c r="N63" s="145"/>
      <c r="O63" s="145"/>
      <c r="P63" s="145"/>
    </row>
    <row r="64" spans="1:16" ht="18.75" x14ac:dyDescent="0.3">
      <c r="A64" s="363" t="s">
        <v>374</v>
      </c>
      <c r="B64" s="91"/>
      <c r="C64" s="91"/>
      <c r="D64" s="91"/>
      <c r="E64" s="91"/>
      <c r="F64" s="21"/>
      <c r="G64" s="21"/>
      <c r="H64" s="21"/>
      <c r="I64" s="21"/>
      <c r="J64" s="21"/>
      <c r="K64" s="21"/>
      <c r="L64" s="21"/>
      <c r="M64" s="145"/>
      <c r="N64" s="145"/>
      <c r="O64" s="145"/>
      <c r="P64" s="145"/>
    </row>
    <row r="65" spans="1:16" s="31" customFormat="1" x14ac:dyDescent="0.25">
      <c r="A65" s="31" t="s">
        <v>188</v>
      </c>
      <c r="F65" s="433"/>
      <c r="G65" s="433"/>
      <c r="H65" s="433"/>
      <c r="I65" s="433"/>
      <c r="J65" s="433"/>
      <c r="K65" s="433"/>
      <c r="L65" s="433"/>
      <c r="M65" s="434"/>
      <c r="N65" s="434"/>
      <c r="O65" s="434"/>
      <c r="P65" s="434"/>
    </row>
    <row r="66" spans="1:16" s="31" customFormat="1" x14ac:dyDescent="0.25">
      <c r="A66" s="31" t="s">
        <v>189</v>
      </c>
      <c r="F66" s="433"/>
      <c r="G66" s="433"/>
      <c r="H66" s="433"/>
      <c r="I66" s="433"/>
      <c r="J66" s="433"/>
      <c r="K66" s="433"/>
      <c r="L66" s="433"/>
      <c r="M66" s="434"/>
      <c r="N66" s="434"/>
      <c r="O66" s="434"/>
      <c r="P66" s="434"/>
    </row>
    <row r="67" spans="1:16" s="31" customFormat="1" x14ac:dyDescent="0.25">
      <c r="A67" s="31" t="s">
        <v>190</v>
      </c>
      <c r="F67" s="433"/>
      <c r="G67" s="433"/>
      <c r="H67" s="433"/>
      <c r="I67" s="433"/>
      <c r="J67" s="433"/>
      <c r="K67" s="433"/>
      <c r="L67" s="433"/>
      <c r="M67" s="434"/>
      <c r="N67" s="434"/>
      <c r="O67" s="434"/>
      <c r="P67" s="434"/>
    </row>
    <row r="68" spans="1:16" s="31" customFormat="1" x14ac:dyDescent="0.25">
      <c r="B68" s="3" t="s">
        <v>206</v>
      </c>
      <c r="D68" s="435"/>
      <c r="F68" s="433"/>
      <c r="G68" s="433"/>
      <c r="H68" s="433"/>
      <c r="I68" s="433"/>
      <c r="J68" s="433"/>
      <c r="K68" s="433"/>
      <c r="L68" s="433"/>
      <c r="M68" s="434"/>
      <c r="N68" s="434"/>
      <c r="O68" s="434"/>
      <c r="P68" s="434"/>
    </row>
    <row r="69" spans="1:16" s="31" customFormat="1" x14ac:dyDescent="0.25">
      <c r="A69" s="3" t="s">
        <v>193</v>
      </c>
      <c r="B69" s="3"/>
      <c r="F69" s="433"/>
      <c r="G69" s="433"/>
      <c r="H69" s="433"/>
      <c r="I69" s="433"/>
      <c r="J69" s="433"/>
      <c r="K69" s="433"/>
      <c r="L69" s="433"/>
      <c r="M69" s="434"/>
      <c r="N69" s="434"/>
      <c r="O69" s="434"/>
      <c r="P69" s="434"/>
    </row>
    <row r="70" spans="1:16" s="31" customFormat="1" x14ac:dyDescent="0.25">
      <c r="A70" s="3" t="s">
        <v>207</v>
      </c>
      <c r="B70" s="3" t="s">
        <v>208</v>
      </c>
      <c r="F70" s="433"/>
      <c r="G70" s="433"/>
      <c r="H70" s="433"/>
      <c r="I70" s="433"/>
      <c r="J70" s="433"/>
      <c r="K70" s="433"/>
      <c r="L70" s="433"/>
      <c r="M70" s="434"/>
      <c r="N70" s="434"/>
      <c r="O70" s="434"/>
      <c r="P70" s="434"/>
    </row>
    <row r="71" spans="1:16" ht="15.75" thickBot="1" x14ac:dyDescent="0.3">
      <c r="A71" s="128"/>
      <c r="B71" s="14"/>
      <c r="C71" s="126"/>
      <c r="D71" s="14"/>
      <c r="E71" s="126"/>
      <c r="F71" s="126"/>
      <c r="G71" s="126"/>
      <c r="H71" s="126"/>
      <c r="I71" s="126"/>
      <c r="J71" s="126"/>
      <c r="K71" s="126"/>
      <c r="L71" s="126"/>
      <c r="M71" s="150"/>
      <c r="N71" s="150"/>
      <c r="O71" s="145"/>
      <c r="P71" s="145"/>
    </row>
    <row r="72" spans="1:16" x14ac:dyDescent="0.25">
      <c r="A72" s="128"/>
      <c r="B72" s="553" t="s">
        <v>209</v>
      </c>
      <c r="C72" s="518" t="s">
        <v>137</v>
      </c>
      <c r="D72" s="528"/>
      <c r="E72" s="528"/>
      <c r="F72" s="546"/>
      <c r="G72" s="518" t="s">
        <v>148</v>
      </c>
      <c r="H72" s="528"/>
      <c r="I72" s="528"/>
      <c r="J72" s="546"/>
      <c r="K72" s="517" t="s">
        <v>210</v>
      </c>
      <c r="L72" s="526"/>
      <c r="M72" s="526"/>
      <c r="N72" s="527"/>
      <c r="O72" s="145"/>
      <c r="P72" s="145"/>
    </row>
    <row r="73" spans="1:16" x14ac:dyDescent="0.25">
      <c r="A73" s="128"/>
      <c r="B73" s="554"/>
      <c r="C73" s="518" t="s">
        <v>198</v>
      </c>
      <c r="D73" s="528"/>
      <c r="E73" s="528" t="s">
        <v>199</v>
      </c>
      <c r="F73" s="546"/>
      <c r="G73" s="518" t="s">
        <v>198</v>
      </c>
      <c r="H73" s="528"/>
      <c r="I73" s="528" t="s">
        <v>199</v>
      </c>
      <c r="J73" s="546"/>
      <c r="K73" s="518" t="s">
        <v>198</v>
      </c>
      <c r="L73" s="528"/>
      <c r="M73" s="528" t="s">
        <v>199</v>
      </c>
      <c r="N73" s="546"/>
      <c r="O73" s="145"/>
      <c r="P73" s="145"/>
    </row>
    <row r="74" spans="1:16" ht="15.75" thickBot="1" x14ac:dyDescent="0.3">
      <c r="A74" s="128"/>
      <c r="B74" s="555"/>
      <c r="C74" s="140" t="s">
        <v>200</v>
      </c>
      <c r="D74" s="127" t="s">
        <v>201</v>
      </c>
      <c r="E74" s="127" t="s">
        <v>200</v>
      </c>
      <c r="F74" s="141" t="s">
        <v>201</v>
      </c>
      <c r="G74" s="140" t="s">
        <v>200</v>
      </c>
      <c r="H74" s="127" t="s">
        <v>201</v>
      </c>
      <c r="I74" s="127" t="s">
        <v>200</v>
      </c>
      <c r="J74" s="141" t="s">
        <v>201</v>
      </c>
      <c r="K74" s="341" t="s">
        <v>200</v>
      </c>
      <c r="L74" s="340" t="s">
        <v>201</v>
      </c>
      <c r="M74" s="340" t="s">
        <v>200</v>
      </c>
      <c r="N74" s="342" t="s">
        <v>201</v>
      </c>
      <c r="O74" s="145"/>
      <c r="P74" s="145"/>
    </row>
    <row r="75" spans="1:16" ht="25.5" x14ac:dyDescent="0.25">
      <c r="A75" s="128"/>
      <c r="B75" s="146" t="s">
        <v>211</v>
      </c>
      <c r="C75" s="400"/>
      <c r="D75" s="401"/>
      <c r="E75" s="401"/>
      <c r="F75" s="402"/>
      <c r="G75" s="366">
        <v>1.3</v>
      </c>
      <c r="H75" s="367">
        <v>-0.1</v>
      </c>
      <c r="I75" s="367">
        <v>1.5</v>
      </c>
      <c r="J75" s="368">
        <v>0.2</v>
      </c>
      <c r="K75" s="345" t="str">
        <f>IF(C75="","",C75-G75)</f>
        <v/>
      </c>
      <c r="L75" s="347" t="str">
        <f t="shared" ref="L75:N75" si="6">IF(D75="","",D75-H75)</f>
        <v/>
      </c>
      <c r="M75" s="347" t="str">
        <f t="shared" si="6"/>
        <v/>
      </c>
      <c r="N75" s="348" t="str">
        <f t="shared" si="6"/>
        <v/>
      </c>
      <c r="O75" s="145"/>
      <c r="P75" s="145"/>
    </row>
    <row r="76" spans="1:16" ht="25.5" x14ac:dyDescent="0.25">
      <c r="A76" s="128"/>
      <c r="B76" s="148" t="s">
        <v>212</v>
      </c>
      <c r="C76" s="403"/>
      <c r="D76" s="404"/>
      <c r="E76" s="404"/>
      <c r="F76" s="405"/>
      <c r="G76" s="369">
        <v>1.7</v>
      </c>
      <c r="H76" s="370">
        <v>-0.4</v>
      </c>
      <c r="I76" s="370">
        <v>1.5</v>
      </c>
      <c r="J76" s="371">
        <v>0.4</v>
      </c>
      <c r="K76" s="349" t="str">
        <f t="shared" ref="K76:K79" si="7">IF(C76="","",C76-G76)</f>
        <v/>
      </c>
      <c r="L76" s="346" t="str">
        <f t="shared" ref="L76:L79" si="8">IF(D76="","",D76-H76)</f>
        <v/>
      </c>
      <c r="M76" s="346" t="str">
        <f t="shared" ref="M76:M79" si="9">IF(E76="","",E76-I76)</f>
        <v/>
      </c>
      <c r="N76" s="350" t="str">
        <f t="shared" ref="N76:N79" si="10">IF(F76="","",F76-J76)</f>
        <v/>
      </c>
      <c r="O76" s="145"/>
      <c r="P76" s="145"/>
    </row>
    <row r="77" spans="1:16" ht="25.5" x14ac:dyDescent="0.25">
      <c r="A77" s="128"/>
      <c r="B77" s="148" t="s">
        <v>213</v>
      </c>
      <c r="C77" s="403"/>
      <c r="D77" s="404"/>
      <c r="E77" s="404"/>
      <c r="F77" s="405"/>
      <c r="G77" s="369">
        <v>1.4</v>
      </c>
      <c r="H77" s="370">
        <v>-0.1</v>
      </c>
      <c r="I77" s="370">
        <v>1.3</v>
      </c>
      <c r="J77" s="371">
        <v>0.3</v>
      </c>
      <c r="K77" s="349" t="str">
        <f t="shared" si="7"/>
        <v/>
      </c>
      <c r="L77" s="346" t="str">
        <f t="shared" si="8"/>
        <v/>
      </c>
      <c r="M77" s="346" t="str">
        <f t="shared" si="9"/>
        <v/>
      </c>
      <c r="N77" s="350" t="str">
        <f t="shared" si="10"/>
        <v/>
      </c>
      <c r="O77" s="145"/>
      <c r="P77" s="145"/>
    </row>
    <row r="78" spans="1:16" ht="25.5" x14ac:dyDescent="0.25">
      <c r="A78" s="128"/>
      <c r="B78" s="148" t="s">
        <v>214</v>
      </c>
      <c r="C78" s="403"/>
      <c r="D78" s="404"/>
      <c r="E78" s="404"/>
      <c r="F78" s="405"/>
      <c r="G78" s="369">
        <v>1.6</v>
      </c>
      <c r="H78" s="370">
        <v>-0.3</v>
      </c>
      <c r="I78" s="370">
        <v>1.5</v>
      </c>
      <c r="J78" s="371">
        <v>0.4</v>
      </c>
      <c r="K78" s="349" t="str">
        <f t="shared" si="7"/>
        <v/>
      </c>
      <c r="L78" s="346" t="str">
        <f t="shared" si="8"/>
        <v/>
      </c>
      <c r="M78" s="346" t="str">
        <f t="shared" si="9"/>
        <v/>
      </c>
      <c r="N78" s="350" t="str">
        <f t="shared" si="10"/>
        <v/>
      </c>
      <c r="O78" s="145"/>
      <c r="P78" s="145"/>
    </row>
    <row r="79" spans="1:16" ht="26.25" thickBot="1" x14ac:dyDescent="0.3">
      <c r="A79" s="128"/>
      <c r="B79" s="149" t="s">
        <v>215</v>
      </c>
      <c r="C79" s="406"/>
      <c r="D79" s="407"/>
      <c r="E79" s="407"/>
      <c r="F79" s="408"/>
      <c r="G79" s="372">
        <v>2</v>
      </c>
      <c r="H79" s="373">
        <v>-0.6</v>
      </c>
      <c r="I79" s="373">
        <v>1.7</v>
      </c>
      <c r="J79" s="374">
        <v>0.3</v>
      </c>
      <c r="K79" s="351" t="str">
        <f t="shared" si="7"/>
        <v/>
      </c>
      <c r="L79" s="352" t="str">
        <f t="shared" si="8"/>
        <v/>
      </c>
      <c r="M79" s="352" t="str">
        <f t="shared" si="9"/>
        <v/>
      </c>
      <c r="N79" s="353" t="str">
        <f t="shared" si="10"/>
        <v/>
      </c>
      <c r="O79" s="145"/>
      <c r="P79" s="145"/>
    </row>
    <row r="80" spans="1:16" x14ac:dyDescent="0.25">
      <c r="B80" s="4"/>
    </row>
    <row r="81" spans="1:30" ht="18.75" x14ac:dyDescent="0.3">
      <c r="A81" s="364" t="s">
        <v>22</v>
      </c>
    </row>
    <row r="82" spans="1:30" x14ac:dyDescent="0.25">
      <c r="A82" s="18" t="s">
        <v>23</v>
      </c>
      <c r="B82" s="18"/>
      <c r="T82" s="78"/>
      <c r="U82" s="79"/>
      <c r="V82" s="78"/>
      <c r="W82" s="78"/>
      <c r="X82" s="78"/>
      <c r="Y82" s="78"/>
    </row>
    <row r="83" spans="1:30" ht="17.25" x14ac:dyDescent="0.25">
      <c r="A83" s="18" t="s">
        <v>114</v>
      </c>
      <c r="B83" s="18"/>
      <c r="T83" s="78"/>
      <c r="U83" s="79"/>
      <c r="V83" s="78"/>
      <c r="W83" s="78"/>
      <c r="X83" s="78"/>
      <c r="Y83" s="78"/>
    </row>
    <row r="84" spans="1:30" x14ac:dyDescent="0.25">
      <c r="A84" s="4"/>
      <c r="T84" s="78"/>
      <c r="U84" s="79"/>
      <c r="V84" s="78"/>
      <c r="W84" s="78"/>
      <c r="X84" s="78"/>
      <c r="Y84" s="78"/>
    </row>
    <row r="85" spans="1:30" x14ac:dyDescent="0.25">
      <c r="A85" s="4"/>
      <c r="T85" s="78"/>
      <c r="U85" s="79"/>
      <c r="V85" s="78"/>
      <c r="W85" s="78"/>
      <c r="X85" s="78"/>
      <c r="Y85" s="78"/>
    </row>
    <row r="86" spans="1:30" ht="18.75" x14ac:dyDescent="0.3">
      <c r="A86" s="364" t="s">
        <v>376</v>
      </c>
      <c r="S86" s="33"/>
      <c r="T86" s="84"/>
      <c r="U86" s="98"/>
      <c r="V86" s="98"/>
      <c r="W86" s="80"/>
      <c r="X86" s="80"/>
      <c r="Y86" s="80"/>
    </row>
    <row r="87" spans="1:30" s="31" customFormat="1" x14ac:dyDescent="0.25">
      <c r="A87" s="31" t="s">
        <v>384</v>
      </c>
      <c r="S87" s="389"/>
      <c r="T87" s="398"/>
      <c r="U87" s="431"/>
      <c r="V87" s="431"/>
      <c r="W87" s="432"/>
      <c r="X87" s="432"/>
      <c r="Y87" s="432"/>
    </row>
    <row r="88" spans="1:30" x14ac:dyDescent="0.25">
      <c r="B88" s="27"/>
      <c r="S88" s="33"/>
      <c r="T88" s="99"/>
      <c r="U88" s="100"/>
      <c r="V88" s="100"/>
      <c r="W88" s="81"/>
      <c r="X88" s="81"/>
      <c r="Y88" s="81"/>
    </row>
    <row r="89" spans="1:30" x14ac:dyDescent="0.25">
      <c r="B89" s="4"/>
      <c r="S89" s="33"/>
      <c r="T89" s="99"/>
      <c r="U89" s="100"/>
      <c r="V89" s="100"/>
      <c r="W89" s="81"/>
      <c r="X89" s="81"/>
      <c r="Y89" s="81"/>
    </row>
    <row r="90" spans="1:30" x14ac:dyDescent="0.25">
      <c r="B90" s="4"/>
      <c r="S90" s="33"/>
      <c r="T90" s="84"/>
      <c r="U90" s="100"/>
      <c r="V90" s="100"/>
      <c r="W90" s="81"/>
      <c r="X90" s="81"/>
      <c r="Y90" s="81"/>
    </row>
    <row r="91" spans="1:30" ht="18.75" x14ac:dyDescent="0.3">
      <c r="A91" s="364" t="s">
        <v>377</v>
      </c>
      <c r="S91" s="33"/>
      <c r="T91" s="84"/>
      <c r="U91" s="100"/>
      <c r="V91" s="100"/>
      <c r="W91" s="81"/>
      <c r="X91" s="81"/>
      <c r="Y91" s="81"/>
    </row>
    <row r="92" spans="1:30" s="31" customFormat="1" x14ac:dyDescent="0.25">
      <c r="A92" s="429" t="s">
        <v>184</v>
      </c>
      <c r="O92" s="151"/>
      <c r="T92" s="428"/>
      <c r="U92" s="430"/>
      <c r="V92" s="430"/>
      <c r="W92" s="430"/>
      <c r="X92" s="430"/>
      <c r="Y92" s="430"/>
    </row>
    <row r="93" spans="1:30" s="31" customFormat="1" x14ac:dyDescent="0.25">
      <c r="A93" s="429" t="s">
        <v>138</v>
      </c>
      <c r="O93" s="18"/>
      <c r="P93" s="18"/>
      <c r="Q93" s="18"/>
      <c r="R93" s="18"/>
      <c r="T93" s="428"/>
      <c r="U93" s="430"/>
      <c r="V93" s="430"/>
      <c r="W93" s="430"/>
      <c r="X93" s="430"/>
      <c r="Y93" s="430"/>
    </row>
    <row r="94" spans="1:30" s="31" customFormat="1" x14ac:dyDescent="0.25">
      <c r="A94" s="31" t="s">
        <v>385</v>
      </c>
      <c r="O94" s="18"/>
      <c r="P94" s="18"/>
      <c r="Q94" s="18"/>
      <c r="R94" s="18"/>
      <c r="T94" s="428"/>
      <c r="U94" s="430"/>
      <c r="V94" s="430"/>
      <c r="W94" s="430"/>
      <c r="X94" s="430"/>
      <c r="Y94" s="430"/>
    </row>
    <row r="95" spans="1:3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116"/>
      <c r="P95" s="4"/>
      <c r="Q95" s="4"/>
      <c r="R95" s="97"/>
      <c r="S95" s="4"/>
      <c r="T95" s="94"/>
      <c r="U95" s="95"/>
      <c r="V95" s="95"/>
      <c r="W95" s="95"/>
      <c r="X95" s="95"/>
      <c r="Y95" s="95"/>
      <c r="Z95" s="4"/>
      <c r="AA95" s="4"/>
      <c r="AB95" s="4"/>
      <c r="AC95" s="4"/>
      <c r="AD95" s="4"/>
    </row>
    <row r="96" spans="1:30" ht="15.75" x14ac:dyDescent="0.25">
      <c r="A96" s="92"/>
      <c r="B96" s="92"/>
      <c r="C96" s="515" t="s">
        <v>28</v>
      </c>
      <c r="D96" s="515"/>
      <c r="E96" s="515"/>
      <c r="F96" s="515" t="s">
        <v>94</v>
      </c>
      <c r="G96" s="515"/>
      <c r="H96" s="515"/>
      <c r="I96" s="515" t="s">
        <v>32</v>
      </c>
      <c r="J96" s="515"/>
      <c r="K96" s="515"/>
      <c r="L96" s="515" t="s">
        <v>151</v>
      </c>
      <c r="M96" s="515"/>
      <c r="N96" s="515"/>
      <c r="O96" s="515" t="s">
        <v>33</v>
      </c>
      <c r="P96" s="515"/>
      <c r="Q96" s="515"/>
      <c r="R96" s="97"/>
      <c r="S96" s="97"/>
      <c r="T96" s="97"/>
      <c r="U96" s="97"/>
      <c r="V96" s="92"/>
      <c r="W96" s="92"/>
      <c r="X96" s="92"/>
      <c r="Y96" s="92"/>
      <c r="Z96" s="92"/>
      <c r="AA96" s="82"/>
    </row>
    <row r="97" spans="1:31" s="31" customFormat="1" x14ac:dyDescent="0.25">
      <c r="A97" s="437"/>
      <c r="B97" s="437"/>
      <c r="C97" s="423" t="s">
        <v>185</v>
      </c>
      <c r="D97" s="423" t="s">
        <v>137</v>
      </c>
      <c r="E97" s="423" t="s">
        <v>86</v>
      </c>
      <c r="F97" s="423" t="s">
        <v>185</v>
      </c>
      <c r="G97" s="423" t="s">
        <v>137</v>
      </c>
      <c r="H97" s="423" t="s">
        <v>86</v>
      </c>
      <c r="I97" s="423" t="s">
        <v>185</v>
      </c>
      <c r="J97" s="423" t="s">
        <v>137</v>
      </c>
      <c r="K97" s="423" t="s">
        <v>86</v>
      </c>
      <c r="L97" s="423" t="s">
        <v>185</v>
      </c>
      <c r="M97" s="423" t="s">
        <v>137</v>
      </c>
      <c r="N97" s="423" t="s">
        <v>86</v>
      </c>
      <c r="O97" s="423" t="s">
        <v>186</v>
      </c>
      <c r="P97" s="423" t="s">
        <v>137</v>
      </c>
      <c r="Q97" s="423" t="s">
        <v>86</v>
      </c>
      <c r="R97" s="438"/>
      <c r="S97" s="438"/>
      <c r="T97" s="438"/>
      <c r="U97" s="438"/>
      <c r="V97" s="437"/>
      <c r="W97" s="437"/>
      <c r="X97" s="437"/>
      <c r="Y97" s="437"/>
      <c r="Z97" s="437"/>
      <c r="AA97" s="437"/>
    </row>
    <row r="98" spans="1:31" s="31" customFormat="1" ht="18" x14ac:dyDescent="0.25">
      <c r="A98" s="437"/>
      <c r="B98" s="423" t="s">
        <v>388</v>
      </c>
      <c r="C98" s="423">
        <v>66.400000000000006</v>
      </c>
      <c r="D98" s="385">
        <f>PDDs!$I$9</f>
        <v>67.110655737704917</v>
      </c>
      <c r="E98" s="619">
        <f>IF(D98="","",ABS(D98-C98)/C98*100)</f>
        <v>1.0702646652182399</v>
      </c>
      <c r="F98" s="423">
        <v>63.5</v>
      </c>
      <c r="G98" s="385">
        <f>PDDs!$I$10</f>
        <v>64.093448450990351</v>
      </c>
      <c r="H98" s="618">
        <f>IF(G98="","",ABS(G98-F98)/F98*100)</f>
        <v>0.93456448974858464</v>
      </c>
      <c r="I98" s="423">
        <v>73.5</v>
      </c>
      <c r="J98" s="385">
        <f>PDDs!$I$11</f>
        <v>73.93075356415477</v>
      </c>
      <c r="K98" s="618">
        <f>IF(J98="","",ABS(J98-I98)/I98*100)</f>
        <v>0.586059270958871</v>
      </c>
      <c r="L98" s="423">
        <v>71.099999999999994</v>
      </c>
      <c r="M98" s="385">
        <f>PDDs!$I$12</f>
        <v>71.057884231536917</v>
      </c>
      <c r="N98" s="618">
        <f>IF(M98="","",ABS(M98-L98)/L98*100)</f>
        <v>5.9234554800389701E-2</v>
      </c>
      <c r="O98" s="423">
        <v>79.5</v>
      </c>
      <c r="P98" s="385">
        <f>PDDs!$I$13</f>
        <v>79.864253393665166</v>
      </c>
      <c r="Q98" s="618">
        <f>IF(P98="","",ABS(P98-O98)/O98*100)</f>
        <v>0.45818036939014584</v>
      </c>
      <c r="R98" s="438"/>
      <c r="S98" s="438"/>
      <c r="T98" s="438"/>
      <c r="U98" s="438"/>
      <c r="V98" s="437"/>
      <c r="W98" s="437"/>
      <c r="X98" s="437"/>
      <c r="Y98" s="437"/>
      <c r="Z98" s="437"/>
      <c r="AA98" s="437"/>
    </row>
    <row r="99" spans="1:31" x14ac:dyDescent="0.25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6"/>
      <c r="U99" s="97"/>
      <c r="V99" s="97"/>
      <c r="W99" s="97"/>
      <c r="X99" s="97"/>
      <c r="Y99" s="97"/>
      <c r="Z99" s="92"/>
      <c r="AA99" s="92"/>
      <c r="AB99" s="92"/>
      <c r="AC99" s="92"/>
      <c r="AD99" s="92"/>
      <c r="AE99" s="82"/>
    </row>
    <row r="100" spans="1:31" x14ac:dyDescent="0.25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6"/>
      <c r="U100" s="97"/>
      <c r="V100" s="97"/>
      <c r="W100" s="97"/>
      <c r="X100" s="97"/>
      <c r="Y100" s="97"/>
      <c r="Z100" s="92"/>
      <c r="AA100" s="92"/>
      <c r="AB100" s="92"/>
      <c r="AC100" s="92"/>
      <c r="AD100" s="92"/>
      <c r="AE100" s="82"/>
    </row>
    <row r="101" spans="1:31" ht="18.75" x14ac:dyDescent="0.3">
      <c r="A101" s="364" t="s">
        <v>378</v>
      </c>
      <c r="T101" s="78"/>
      <c r="U101" s="79"/>
      <c r="V101" s="78"/>
      <c r="W101" s="78"/>
      <c r="X101" s="78"/>
      <c r="Y101" s="78"/>
    </row>
    <row r="102" spans="1:31" s="31" customFormat="1" x14ac:dyDescent="0.25">
      <c r="A102" s="429" t="s">
        <v>184</v>
      </c>
      <c r="T102" s="428"/>
      <c r="U102" s="392"/>
      <c r="V102" s="428"/>
      <c r="W102" s="428"/>
      <c r="X102" s="428"/>
      <c r="Y102" s="428"/>
    </row>
    <row r="103" spans="1:31" s="31" customFormat="1" x14ac:dyDescent="0.25">
      <c r="A103" s="429" t="s">
        <v>138</v>
      </c>
      <c r="T103" s="428"/>
      <c r="U103" s="392"/>
      <c r="V103" s="428"/>
      <c r="W103" s="428"/>
      <c r="X103" s="428"/>
      <c r="Y103" s="428"/>
    </row>
    <row r="104" spans="1:31" s="31" customFormat="1" x14ac:dyDescent="0.25">
      <c r="A104" s="31" t="s">
        <v>385</v>
      </c>
      <c r="T104" s="428"/>
      <c r="U104" s="392"/>
      <c r="V104" s="428"/>
      <c r="W104" s="428"/>
      <c r="X104" s="428"/>
      <c r="Y104" s="428"/>
    </row>
    <row r="105" spans="1:31" x14ac:dyDescent="0.25">
      <c r="A105" s="4"/>
      <c r="C105" s="365"/>
      <c r="D105" s="365"/>
      <c r="E105" s="365"/>
      <c r="F105" s="365"/>
      <c r="G105" s="365"/>
      <c r="H105" s="365"/>
      <c r="I105" s="365"/>
      <c r="J105" s="365"/>
      <c r="K105" s="365"/>
      <c r="L105" s="365"/>
      <c r="M105" s="365"/>
      <c r="N105" s="365"/>
      <c r="O105" s="365"/>
      <c r="P105" s="365"/>
      <c r="Q105" s="365"/>
      <c r="R105" s="79"/>
      <c r="S105" s="79"/>
      <c r="T105" s="79"/>
      <c r="U105" s="79"/>
      <c r="V105" s="79"/>
      <c r="W105" s="78"/>
      <c r="X105" s="78"/>
      <c r="Y105" s="78"/>
    </row>
    <row r="106" spans="1:31" ht="15.75" x14ac:dyDescent="0.25">
      <c r="A106" s="4"/>
      <c r="B106" s="93"/>
      <c r="C106" s="515" t="s">
        <v>107</v>
      </c>
      <c r="D106" s="515"/>
      <c r="E106" s="515"/>
      <c r="F106" s="515" t="s">
        <v>108</v>
      </c>
      <c r="G106" s="515"/>
      <c r="H106" s="515"/>
      <c r="I106" s="515" t="s">
        <v>109</v>
      </c>
      <c r="J106" s="515"/>
      <c r="K106" s="515"/>
      <c r="L106" s="515" t="s">
        <v>152</v>
      </c>
      <c r="M106" s="515"/>
      <c r="N106" s="515"/>
      <c r="O106" s="515" t="s">
        <v>153</v>
      </c>
      <c r="P106" s="515"/>
      <c r="Q106" s="515"/>
      <c r="R106" s="79"/>
      <c r="S106" s="79"/>
      <c r="T106" s="79"/>
      <c r="U106" s="79"/>
      <c r="V106" s="79"/>
    </row>
    <row r="107" spans="1:31" s="31" customFormat="1" x14ac:dyDescent="0.25">
      <c r="B107" s="437"/>
      <c r="C107" s="423" t="s">
        <v>185</v>
      </c>
      <c r="D107" s="423" t="s">
        <v>137</v>
      </c>
      <c r="E107" s="423" t="s">
        <v>139</v>
      </c>
      <c r="F107" s="423" t="s">
        <v>185</v>
      </c>
      <c r="G107" s="423" t="s">
        <v>137</v>
      </c>
      <c r="H107" s="423" t="s">
        <v>139</v>
      </c>
      <c r="I107" s="423" t="s">
        <v>185</v>
      </c>
      <c r="J107" s="423" t="s">
        <v>137</v>
      </c>
      <c r="K107" s="423" t="s">
        <v>139</v>
      </c>
      <c r="L107" s="423" t="s">
        <v>185</v>
      </c>
      <c r="M107" s="423" t="s">
        <v>137</v>
      </c>
      <c r="N107" s="423" t="s">
        <v>139</v>
      </c>
      <c r="O107" s="423" t="s">
        <v>185</v>
      </c>
      <c r="P107" s="423" t="s">
        <v>137</v>
      </c>
      <c r="Q107" s="423" t="s">
        <v>139</v>
      </c>
      <c r="R107" s="428"/>
      <c r="S107" s="428"/>
      <c r="T107" s="428"/>
    </row>
    <row r="108" spans="1:31" s="31" customFormat="1" ht="18" x14ac:dyDescent="0.25">
      <c r="B108" s="423" t="s">
        <v>387</v>
      </c>
      <c r="C108" s="423">
        <v>2.36</v>
      </c>
      <c r="D108" s="385">
        <f>PDDs!$M$9</f>
        <v>2.3509833443708605</v>
      </c>
      <c r="E108" s="618">
        <f>IF(D108="","",(ABS(D108-C108)*10))</f>
        <v>9.0166556291393363E-2</v>
      </c>
      <c r="F108" s="423">
        <v>3.6</v>
      </c>
      <c r="G108" s="385">
        <f>PDDs!$M$10</f>
        <v>3.6086174548192766</v>
      </c>
      <c r="H108" s="618">
        <f>IF(G108="","",(ABS(G108-F108)*10))</f>
        <v>8.6174548192765599E-2</v>
      </c>
      <c r="I108" s="423">
        <v>4.9800000000000004</v>
      </c>
      <c r="J108" s="385">
        <f>PDDs!$M$11</f>
        <v>5.0768993617021279</v>
      </c>
      <c r="K108" s="618">
        <f>IF(J108="","",(ABS(J108-I108)*10))</f>
        <v>0.96899361702127429</v>
      </c>
      <c r="L108" s="423">
        <v>6.61</v>
      </c>
      <c r="M108" s="385">
        <f>PDDs!$M$12</f>
        <v>6.7799100000000001</v>
      </c>
      <c r="N108" s="619">
        <f>IF(M108="","",(ABS(M108-L108)*10))</f>
        <v>1.6990999999999978</v>
      </c>
      <c r="O108" s="423">
        <v>8.25</v>
      </c>
      <c r="P108" s="385">
        <f>PDDs!$M$13</f>
        <v>8.4136006249999991</v>
      </c>
      <c r="Q108" s="619">
        <f>IF(P108="","",(ABS(P108-O108)*10))</f>
        <v>1.6360062499999906</v>
      </c>
      <c r="R108" s="428"/>
      <c r="S108" s="428"/>
      <c r="T108" s="428"/>
    </row>
    <row r="109" spans="1:31" x14ac:dyDescent="0.25"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T109" s="78"/>
      <c r="U109" s="79"/>
      <c r="V109" s="78"/>
      <c r="W109" s="78"/>
      <c r="X109" s="78"/>
      <c r="Y109" s="78"/>
    </row>
    <row r="110" spans="1:31" x14ac:dyDescent="0.25">
      <c r="T110" s="78"/>
      <c r="U110" s="79"/>
      <c r="V110" s="79"/>
      <c r="W110" s="79"/>
      <c r="X110" s="79"/>
      <c r="Y110" s="79"/>
    </row>
    <row r="111" spans="1:31" ht="18.75" x14ac:dyDescent="0.3">
      <c r="A111" s="364" t="s">
        <v>135</v>
      </c>
      <c r="T111" s="78"/>
      <c r="U111" s="79"/>
      <c r="V111" s="79"/>
      <c r="W111" s="79"/>
      <c r="X111" s="79"/>
      <c r="Y111" s="79"/>
    </row>
    <row r="112" spans="1:31" ht="17.25" x14ac:dyDescent="0.25">
      <c r="A112" s="83" t="s">
        <v>115</v>
      </c>
      <c r="B112" s="33"/>
      <c r="C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84"/>
      <c r="U112" s="85"/>
      <c r="V112" s="85"/>
      <c r="W112" s="85"/>
      <c r="X112" s="79"/>
      <c r="Y112" s="79"/>
    </row>
    <row r="113" spans="1:29" s="31" customFormat="1" x14ac:dyDescent="0.25">
      <c r="A113" s="389" t="s">
        <v>154</v>
      </c>
      <c r="B113" s="389"/>
      <c r="C113" s="389"/>
      <c r="D113" s="83"/>
      <c r="E113" s="389"/>
      <c r="F113" s="389"/>
      <c r="G113" s="389"/>
      <c r="H113" s="389"/>
      <c r="I113" s="389"/>
      <c r="J113" s="389"/>
      <c r="K113" s="389"/>
      <c r="L113" s="389"/>
      <c r="M113" s="389"/>
      <c r="N113" s="389"/>
      <c r="O113" s="389"/>
      <c r="P113" s="389"/>
      <c r="Q113" s="389"/>
      <c r="R113" s="389"/>
      <c r="S113" s="389"/>
      <c r="T113" s="398"/>
      <c r="U113" s="391"/>
      <c r="V113" s="391"/>
      <c r="W113" s="391"/>
      <c r="X113" s="392"/>
      <c r="Y113" s="392"/>
    </row>
    <row r="114" spans="1:29" s="31" customFormat="1" x14ac:dyDescent="0.25">
      <c r="A114" s="389" t="s">
        <v>125</v>
      </c>
      <c r="B114" s="389"/>
      <c r="C114" s="389" t="s">
        <v>73</v>
      </c>
      <c r="D114" s="83"/>
      <c r="E114" s="389"/>
      <c r="F114" s="389"/>
      <c r="G114" s="389"/>
      <c r="H114" s="389"/>
      <c r="I114" s="389"/>
      <c r="J114" s="389"/>
      <c r="K114" s="389"/>
      <c r="L114" s="389"/>
      <c r="M114" s="389"/>
      <c r="N114" s="389"/>
      <c r="O114" s="389"/>
      <c r="P114" s="389"/>
      <c r="Q114" s="389"/>
      <c r="R114" s="389"/>
      <c r="S114" s="389"/>
      <c r="T114" s="398"/>
      <c r="U114" s="391"/>
      <c r="V114" s="391"/>
      <c r="W114" s="391"/>
      <c r="X114" s="392"/>
      <c r="Y114" s="392"/>
    </row>
    <row r="115" spans="1:29" s="31" customFormat="1" x14ac:dyDescent="0.25">
      <c r="A115" s="389" t="s">
        <v>124</v>
      </c>
      <c r="B115" s="389"/>
      <c r="C115" s="389" t="s">
        <v>156</v>
      </c>
      <c r="D115" s="83"/>
      <c r="E115" s="389"/>
      <c r="F115" s="389"/>
      <c r="G115" s="389"/>
      <c r="H115" s="389"/>
      <c r="I115" s="389"/>
      <c r="J115" s="389"/>
      <c r="K115" s="389"/>
      <c r="L115" s="389"/>
      <c r="M115" s="389"/>
      <c r="N115" s="389"/>
      <c r="O115" s="389"/>
      <c r="P115" s="389"/>
      <c r="Q115" s="389"/>
      <c r="R115" s="389"/>
      <c r="S115" s="389"/>
      <c r="T115" s="398"/>
      <c r="U115" s="391"/>
      <c r="V115" s="391"/>
      <c r="W115" s="391"/>
      <c r="X115" s="392"/>
      <c r="Y115" s="392"/>
    </row>
    <row r="116" spans="1:29" x14ac:dyDescent="0.25">
      <c r="A116" s="34"/>
      <c r="B116" s="87"/>
      <c r="C116" s="87"/>
      <c r="D116" s="375"/>
      <c r="E116" s="87"/>
      <c r="F116" s="87"/>
      <c r="G116" s="87"/>
      <c r="H116" s="87"/>
      <c r="I116" s="87"/>
      <c r="J116" s="87"/>
      <c r="K116" s="87"/>
      <c r="L116" s="87"/>
      <c r="M116" s="87"/>
      <c r="N116" s="375"/>
      <c r="O116" s="87"/>
      <c r="P116" s="87"/>
      <c r="Q116" s="87"/>
      <c r="R116" s="87"/>
      <c r="S116" s="87"/>
      <c r="T116" s="87"/>
      <c r="U116" s="85"/>
      <c r="V116" s="85"/>
      <c r="W116" s="85"/>
      <c r="X116" s="79"/>
      <c r="Y116" s="79"/>
    </row>
    <row r="117" spans="1:29" ht="15" customHeight="1" thickBot="1" x14ac:dyDescent="0.3">
      <c r="A117" s="34"/>
      <c r="B117" s="88"/>
      <c r="C117" s="88"/>
      <c r="D117" s="88"/>
      <c r="E117" s="88"/>
      <c r="F117" s="88"/>
      <c r="G117" s="88"/>
      <c r="H117" s="88"/>
      <c r="I117" s="88"/>
      <c r="J117" s="88"/>
      <c r="K117" s="89"/>
      <c r="L117" s="88"/>
      <c r="M117" s="88"/>
      <c r="N117" s="88"/>
      <c r="O117" s="88"/>
      <c r="P117" s="88"/>
      <c r="Q117" s="88"/>
      <c r="R117" s="88"/>
      <c r="S117" s="88"/>
      <c r="T117" s="88"/>
      <c r="U117" s="85"/>
      <c r="V117" s="85"/>
      <c r="W117" s="85"/>
      <c r="X117" s="79"/>
      <c r="Y117" s="79"/>
      <c r="Z117" s="79"/>
      <c r="AA117" s="79"/>
      <c r="AB117" s="79"/>
      <c r="AC117" s="79"/>
    </row>
    <row r="118" spans="1:29" s="31" customFormat="1" ht="15.75" customHeight="1" x14ac:dyDescent="0.25">
      <c r="A118" s="389"/>
      <c r="B118" s="390"/>
      <c r="C118" s="505" t="s">
        <v>28</v>
      </c>
      <c r="D118" s="505"/>
      <c r="E118" s="505"/>
      <c r="F118" s="505"/>
      <c r="G118" s="505"/>
      <c r="H118" s="505"/>
      <c r="I118" s="505"/>
      <c r="J118" s="506"/>
      <c r="K118" s="376"/>
      <c r="L118" s="390"/>
      <c r="M118" s="505" t="s">
        <v>31</v>
      </c>
      <c r="N118" s="505"/>
      <c r="O118" s="505"/>
      <c r="P118" s="505"/>
      <c r="Q118" s="505"/>
      <c r="R118" s="505"/>
      <c r="S118" s="505"/>
      <c r="T118" s="506"/>
      <c r="U118" s="391"/>
      <c r="V118" s="391"/>
      <c r="W118" s="391"/>
      <c r="X118" s="392"/>
      <c r="Y118" s="392"/>
      <c r="Z118" s="392"/>
      <c r="AA118" s="392"/>
      <c r="AB118" s="392"/>
      <c r="AC118" s="392"/>
    </row>
    <row r="119" spans="1:29" s="31" customFormat="1" x14ac:dyDescent="0.25">
      <c r="A119" s="389"/>
      <c r="B119" s="382" t="s">
        <v>386</v>
      </c>
      <c r="C119" s="380">
        <v>5</v>
      </c>
      <c r="D119" s="380">
        <v>8</v>
      </c>
      <c r="E119" s="380">
        <v>10</v>
      </c>
      <c r="F119" s="380">
        <v>12</v>
      </c>
      <c r="G119" s="380">
        <v>15</v>
      </c>
      <c r="H119" s="380">
        <v>20</v>
      </c>
      <c r="I119" s="380">
        <v>25</v>
      </c>
      <c r="J119" s="383">
        <v>30</v>
      </c>
      <c r="K119" s="376"/>
      <c r="L119" s="382" t="s">
        <v>386</v>
      </c>
      <c r="M119" s="380">
        <v>5</v>
      </c>
      <c r="N119" s="380">
        <v>8</v>
      </c>
      <c r="O119" s="380">
        <v>10</v>
      </c>
      <c r="P119" s="380">
        <v>12</v>
      </c>
      <c r="Q119" s="380">
        <v>15</v>
      </c>
      <c r="R119" s="380">
        <v>20</v>
      </c>
      <c r="S119" s="380">
        <v>25</v>
      </c>
      <c r="T119" s="383">
        <v>30</v>
      </c>
      <c r="U119" s="391"/>
      <c r="V119" s="391"/>
      <c r="W119" s="391"/>
      <c r="X119" s="392"/>
      <c r="Y119" s="392"/>
      <c r="Z119" s="392"/>
      <c r="AA119" s="392"/>
      <c r="AB119" s="392"/>
      <c r="AC119" s="392"/>
    </row>
    <row r="120" spans="1:29" s="31" customFormat="1" ht="15" customHeight="1" x14ac:dyDescent="0.25">
      <c r="A120" s="389"/>
      <c r="B120" s="507" t="s">
        <v>123</v>
      </c>
      <c r="C120" s="385"/>
      <c r="D120" s="385"/>
      <c r="E120" s="385"/>
      <c r="F120" s="385"/>
      <c r="G120" s="385"/>
      <c r="H120" s="385"/>
      <c r="I120" s="385"/>
      <c r="J120" s="386"/>
      <c r="K120" s="376"/>
      <c r="L120" s="507" t="s">
        <v>123</v>
      </c>
      <c r="M120" s="385"/>
      <c r="N120" s="385"/>
      <c r="O120" s="385"/>
      <c r="P120" s="385"/>
      <c r="Q120" s="385"/>
      <c r="R120" s="385"/>
      <c r="S120" s="385"/>
      <c r="T120" s="386"/>
      <c r="U120" s="391"/>
      <c r="V120" s="391"/>
      <c r="W120" s="391"/>
      <c r="X120" s="392"/>
      <c r="Y120" s="392"/>
      <c r="Z120" s="392"/>
      <c r="AA120" s="392"/>
      <c r="AB120" s="392"/>
      <c r="AC120" s="392"/>
    </row>
    <row r="121" spans="1:29" s="31" customFormat="1" x14ac:dyDescent="0.25">
      <c r="A121" s="389"/>
      <c r="B121" s="507"/>
      <c r="C121" s="385"/>
      <c r="D121" s="385"/>
      <c r="E121" s="385"/>
      <c r="F121" s="385"/>
      <c r="G121" s="385"/>
      <c r="H121" s="385"/>
      <c r="I121" s="385"/>
      <c r="J121" s="386"/>
      <c r="K121" s="376"/>
      <c r="L121" s="507" t="s">
        <v>121</v>
      </c>
      <c r="M121" s="385"/>
      <c r="N121" s="385"/>
      <c r="O121" s="385"/>
      <c r="P121" s="385"/>
      <c r="Q121" s="385"/>
      <c r="R121" s="385"/>
      <c r="S121" s="385"/>
      <c r="T121" s="386"/>
      <c r="U121" s="391"/>
      <c r="V121" s="391"/>
      <c r="W121" s="391"/>
      <c r="X121" s="392"/>
      <c r="Y121" s="392"/>
      <c r="Z121" s="392"/>
      <c r="AA121" s="392"/>
      <c r="AB121" s="392"/>
      <c r="AC121" s="392"/>
    </row>
    <row r="122" spans="1:29" s="31" customFormat="1" x14ac:dyDescent="0.25">
      <c r="A122" s="389"/>
      <c r="B122" s="507"/>
      <c r="C122" s="385"/>
      <c r="D122" s="385"/>
      <c r="E122" s="385"/>
      <c r="F122" s="385"/>
      <c r="G122" s="385"/>
      <c r="H122" s="385"/>
      <c r="I122" s="385"/>
      <c r="J122" s="386"/>
      <c r="K122" s="376"/>
      <c r="L122" s="507" t="s">
        <v>122</v>
      </c>
      <c r="M122" s="385"/>
      <c r="N122" s="385"/>
      <c r="O122" s="385"/>
      <c r="P122" s="385"/>
      <c r="Q122" s="385"/>
      <c r="R122" s="385"/>
      <c r="S122" s="385"/>
      <c r="T122" s="386"/>
      <c r="U122" s="391"/>
      <c r="V122" s="391"/>
      <c r="W122" s="391"/>
      <c r="X122" s="392"/>
      <c r="Y122" s="392"/>
      <c r="Z122" s="392"/>
      <c r="AA122" s="392"/>
      <c r="AB122" s="392"/>
      <c r="AC122" s="392"/>
    </row>
    <row r="123" spans="1:29" s="31" customFormat="1" x14ac:dyDescent="0.25">
      <c r="A123" s="389"/>
      <c r="B123" s="377" t="s">
        <v>29</v>
      </c>
      <c r="C123" s="381" t="str">
        <f>IF(ISNUMBER(AVERAGE(C120:C122)),AVERAGE(C120:C122),"")</f>
        <v/>
      </c>
      <c r="D123" s="381" t="str">
        <f t="shared" ref="D123:J123" si="11">IF(ISNUMBER(AVERAGE(D120:D122)),AVERAGE(D120:D122),"")</f>
        <v/>
      </c>
      <c r="E123" s="381" t="str">
        <f t="shared" si="11"/>
        <v/>
      </c>
      <c r="F123" s="381" t="str">
        <f t="shared" si="11"/>
        <v/>
      </c>
      <c r="G123" s="381" t="str">
        <f t="shared" si="11"/>
        <v/>
      </c>
      <c r="H123" s="381" t="str">
        <f t="shared" si="11"/>
        <v/>
      </c>
      <c r="I123" s="381" t="str">
        <f t="shared" si="11"/>
        <v/>
      </c>
      <c r="J123" s="384" t="str">
        <f t="shared" si="11"/>
        <v/>
      </c>
      <c r="K123" s="376"/>
      <c r="L123" s="377" t="s">
        <v>29</v>
      </c>
      <c r="M123" s="381" t="str">
        <f>IF(ISNUMBER(AVERAGE(M120:M122)),AVERAGE(M120:M122),"")</f>
        <v/>
      </c>
      <c r="N123" s="381" t="str">
        <f t="shared" ref="N123" si="12">IF(ISNUMBER(AVERAGE(N120:N122)),AVERAGE(N120:N122),"")</f>
        <v/>
      </c>
      <c r="O123" s="381" t="str">
        <f t="shared" ref="O123" si="13">IF(ISNUMBER(AVERAGE(O120:O122)),AVERAGE(O120:O122),"")</f>
        <v/>
      </c>
      <c r="P123" s="381" t="str">
        <f t="shared" ref="P123" si="14">IF(ISNUMBER(AVERAGE(P120:P122)),AVERAGE(P120:P122),"")</f>
        <v/>
      </c>
      <c r="Q123" s="381" t="str">
        <f t="shared" ref="Q123" si="15">IF(ISNUMBER(AVERAGE(Q120:Q122)),AVERAGE(Q120:Q122),"")</f>
        <v/>
      </c>
      <c r="R123" s="381" t="str">
        <f t="shared" ref="R123" si="16">IF(ISNUMBER(AVERAGE(R120:R122)),AVERAGE(R120:R122),"")</f>
        <v/>
      </c>
      <c r="S123" s="381" t="str">
        <f t="shared" ref="S123" si="17">IF(ISNUMBER(AVERAGE(S120:S122)),AVERAGE(S120:S122),"")</f>
        <v/>
      </c>
      <c r="T123" s="384" t="str">
        <f t="shared" ref="T123" si="18">IF(ISNUMBER(AVERAGE(T120:T122)),AVERAGE(T120:T122),"")</f>
        <v/>
      </c>
      <c r="U123" s="391"/>
      <c r="V123" s="391"/>
      <c r="W123" s="391"/>
      <c r="X123" s="392"/>
      <c r="Y123" s="392"/>
      <c r="Z123" s="392"/>
      <c r="AA123" s="392"/>
      <c r="AB123" s="392"/>
      <c r="AC123" s="392"/>
    </row>
    <row r="124" spans="1:29" s="31" customFormat="1" x14ac:dyDescent="0.25">
      <c r="A124" s="389"/>
      <c r="B124" s="377" t="s">
        <v>155</v>
      </c>
      <c r="C124" s="381" t="str">
        <f>IF(ISNUMBER(C123/$E$123),C123/$E$123,"")</f>
        <v/>
      </c>
      <c r="D124" s="381" t="str">
        <f t="shared" ref="D124:J124" si="19">IF(ISNUMBER(D123/$E$123),D123/$E$123,"")</f>
        <v/>
      </c>
      <c r="E124" s="381" t="str">
        <f t="shared" si="19"/>
        <v/>
      </c>
      <c r="F124" s="381" t="str">
        <f t="shared" si="19"/>
        <v/>
      </c>
      <c r="G124" s="381" t="str">
        <f t="shared" si="19"/>
        <v/>
      </c>
      <c r="H124" s="381" t="str">
        <f t="shared" si="19"/>
        <v/>
      </c>
      <c r="I124" s="381" t="str">
        <f t="shared" si="19"/>
        <v/>
      </c>
      <c r="J124" s="384" t="str">
        <f t="shared" si="19"/>
        <v/>
      </c>
      <c r="K124" s="376"/>
      <c r="L124" s="377" t="s">
        <v>155</v>
      </c>
      <c r="M124" s="381" t="str">
        <f>IF(ISNUMBER(M123/$O$123),M123/$O$123,"")</f>
        <v/>
      </c>
      <c r="N124" s="381" t="str">
        <f t="shared" ref="N124:T124" si="20">IF(ISNUMBER(N123/$O$123),N123/$O$123,"")</f>
        <v/>
      </c>
      <c r="O124" s="381" t="str">
        <f t="shared" si="20"/>
        <v/>
      </c>
      <c r="P124" s="381" t="str">
        <f t="shared" si="20"/>
        <v/>
      </c>
      <c r="Q124" s="381" t="str">
        <f t="shared" si="20"/>
        <v/>
      </c>
      <c r="R124" s="381" t="str">
        <f t="shared" si="20"/>
        <v/>
      </c>
      <c r="S124" s="381" t="str">
        <f t="shared" si="20"/>
        <v/>
      </c>
      <c r="T124" s="384" t="str">
        <f t="shared" si="20"/>
        <v/>
      </c>
      <c r="U124" s="391"/>
      <c r="V124" s="391"/>
      <c r="W124" s="391"/>
      <c r="X124" s="392"/>
      <c r="Y124" s="392"/>
      <c r="Z124" s="392"/>
      <c r="AA124" s="392"/>
      <c r="AB124" s="392"/>
      <c r="AC124" s="392"/>
    </row>
    <row r="125" spans="1:29" s="31" customFormat="1" ht="18" customHeight="1" x14ac:dyDescent="0.25">
      <c r="A125" s="389"/>
      <c r="B125" s="377" t="s">
        <v>136</v>
      </c>
      <c r="C125" s="381">
        <v>0.89500000000000002</v>
      </c>
      <c r="D125" s="381">
        <v>0.96399999999999997</v>
      </c>
      <c r="E125" s="381">
        <v>1</v>
      </c>
      <c r="F125" s="381">
        <v>1.0269999999999999</v>
      </c>
      <c r="G125" s="381">
        <v>1.06</v>
      </c>
      <c r="H125" s="381">
        <v>1.101</v>
      </c>
      <c r="I125" s="381">
        <v>1.1319999999999999</v>
      </c>
      <c r="J125" s="384">
        <v>1.153</v>
      </c>
      <c r="K125" s="376"/>
      <c r="L125" s="377" t="s">
        <v>136</v>
      </c>
      <c r="M125" s="381">
        <v>0.90423861852433274</v>
      </c>
      <c r="N125" s="381">
        <v>0.9686028257456829</v>
      </c>
      <c r="O125" s="381">
        <v>1</v>
      </c>
      <c r="P125" s="381">
        <v>1.0235478806907379</v>
      </c>
      <c r="Q125" s="381">
        <v>1.0502354788069075</v>
      </c>
      <c r="R125" s="381">
        <v>1.0816326530612246</v>
      </c>
      <c r="S125" s="381">
        <v>1.1020408163265305</v>
      </c>
      <c r="T125" s="384">
        <v>1.1161695447409732</v>
      </c>
      <c r="U125" s="391"/>
      <c r="V125" s="391"/>
      <c r="W125" s="391"/>
      <c r="X125" s="392"/>
      <c r="Y125" s="392"/>
      <c r="Z125" s="392"/>
      <c r="AA125" s="392"/>
      <c r="AB125" s="392"/>
      <c r="AC125" s="392"/>
    </row>
    <row r="126" spans="1:29" s="31" customFormat="1" ht="15.75" thickBot="1" x14ac:dyDescent="0.3">
      <c r="A126" s="389"/>
      <c r="B126" s="379" t="s">
        <v>86</v>
      </c>
      <c r="C126" s="393" t="str">
        <f>IF(ISNUMBER((C125-C124)/C125*100),(C125-C124)/C125*100,"")</f>
        <v/>
      </c>
      <c r="D126" s="393" t="str">
        <f t="shared" ref="D126:J126" si="21">IF(ISNUMBER((D125-D124)/D125*100),(D125-D124)/D125*100,"")</f>
        <v/>
      </c>
      <c r="E126" s="393" t="str">
        <f t="shared" si="21"/>
        <v/>
      </c>
      <c r="F126" s="393" t="str">
        <f t="shared" si="21"/>
        <v/>
      </c>
      <c r="G126" s="393" t="str">
        <f t="shared" si="21"/>
        <v/>
      </c>
      <c r="H126" s="393" t="str">
        <f t="shared" si="21"/>
        <v/>
      </c>
      <c r="I126" s="393" t="str">
        <f t="shared" si="21"/>
        <v/>
      </c>
      <c r="J126" s="394" t="str">
        <f t="shared" si="21"/>
        <v/>
      </c>
      <c r="K126" s="376"/>
      <c r="L126" s="379" t="s">
        <v>86</v>
      </c>
      <c r="M126" s="393" t="str">
        <f>IF(ISNUMBER((M125-M124)/M125*100),(M125-M124)/M125*100,"")</f>
        <v/>
      </c>
      <c r="N126" s="393" t="str">
        <f t="shared" ref="N126" si="22">IF(ISNUMBER((N125-N124)/N125*100),(N125-N124)/N125*100,"")</f>
        <v/>
      </c>
      <c r="O126" s="393" t="str">
        <f t="shared" ref="O126" si="23">IF(ISNUMBER((O125-O124)/O125*100),(O125-O124)/O125*100,"")</f>
        <v/>
      </c>
      <c r="P126" s="393" t="str">
        <f t="shared" ref="P126" si="24">IF(ISNUMBER((P125-P124)/P125*100),(P125-P124)/P125*100,"")</f>
        <v/>
      </c>
      <c r="Q126" s="393" t="str">
        <f t="shared" ref="Q126" si="25">IF(ISNUMBER((Q125-Q124)/Q125*100),(Q125-Q124)/Q125*100,"")</f>
        <v/>
      </c>
      <c r="R126" s="393" t="str">
        <f t="shared" ref="R126" si="26">IF(ISNUMBER((R125-R124)/R125*100),(R125-R124)/R125*100,"")</f>
        <v/>
      </c>
      <c r="S126" s="393" t="str">
        <f t="shared" ref="S126" si="27">IF(ISNUMBER((S125-S124)/S125*100),(S125-S124)/S125*100,"")</f>
        <v/>
      </c>
      <c r="T126" s="394" t="str">
        <f t="shared" ref="T126" si="28">IF(ISNUMBER((T125-T124)/T125*100),(T125-T124)/T125*100,"")</f>
        <v/>
      </c>
      <c r="U126" s="391"/>
      <c r="V126" s="391"/>
      <c r="W126" s="391"/>
      <c r="X126" s="392"/>
      <c r="Y126" s="392"/>
      <c r="Z126" s="392"/>
      <c r="AA126" s="392"/>
      <c r="AB126" s="392"/>
      <c r="AC126" s="392"/>
    </row>
    <row r="127" spans="1:29" s="31" customFormat="1" x14ac:dyDescent="0.25">
      <c r="A127" s="389"/>
      <c r="B127" s="395"/>
      <c r="C127" s="395"/>
      <c r="D127" s="396"/>
      <c r="E127" s="395"/>
      <c r="F127" s="395"/>
      <c r="G127" s="395"/>
      <c r="H127" s="395"/>
      <c r="I127" s="395"/>
      <c r="J127" s="395"/>
      <c r="K127" s="395"/>
      <c r="L127" s="395"/>
      <c r="M127" s="395"/>
      <c r="N127" s="396"/>
      <c r="O127" s="395"/>
      <c r="P127" s="395"/>
      <c r="Q127" s="395"/>
      <c r="R127" s="395"/>
      <c r="S127" s="395"/>
      <c r="T127" s="395"/>
      <c r="U127" s="391"/>
      <c r="V127" s="391"/>
      <c r="W127" s="391"/>
      <c r="X127" s="392"/>
      <c r="Y127" s="392"/>
      <c r="Z127" s="392"/>
      <c r="AA127" s="392"/>
      <c r="AB127" s="392"/>
      <c r="AC127" s="392"/>
    </row>
    <row r="128" spans="1:29" s="31" customFormat="1" ht="15" customHeight="1" thickBot="1" x14ac:dyDescent="0.3">
      <c r="A128" s="389"/>
      <c r="B128" s="397"/>
      <c r="C128" s="504"/>
      <c r="D128" s="504"/>
      <c r="E128" s="504"/>
      <c r="F128" s="504"/>
      <c r="G128" s="504"/>
      <c r="H128" s="504"/>
      <c r="I128" s="504"/>
      <c r="J128" s="504"/>
      <c r="K128" s="376"/>
      <c r="L128" s="397"/>
      <c r="M128" s="397"/>
      <c r="N128" s="397"/>
      <c r="O128" s="397"/>
      <c r="P128" s="397"/>
      <c r="Q128" s="397"/>
      <c r="R128" s="397"/>
      <c r="S128" s="397"/>
      <c r="T128" s="397"/>
      <c r="U128" s="391"/>
      <c r="V128" s="391"/>
      <c r="W128" s="391"/>
      <c r="X128" s="392"/>
      <c r="Y128" s="392"/>
      <c r="Z128" s="392"/>
      <c r="AA128" s="392"/>
      <c r="AB128" s="392"/>
      <c r="AC128" s="392"/>
    </row>
    <row r="129" spans="1:29" s="31" customFormat="1" ht="15" customHeight="1" x14ac:dyDescent="0.25">
      <c r="A129" s="389"/>
      <c r="B129" s="390"/>
      <c r="C129" s="505" t="s">
        <v>32</v>
      </c>
      <c r="D129" s="505"/>
      <c r="E129" s="505"/>
      <c r="F129" s="505"/>
      <c r="G129" s="505"/>
      <c r="H129" s="505"/>
      <c r="I129" s="505"/>
      <c r="J129" s="506"/>
      <c r="K129" s="376"/>
      <c r="L129" s="390"/>
      <c r="M129" s="505" t="s">
        <v>162</v>
      </c>
      <c r="N129" s="505"/>
      <c r="O129" s="505"/>
      <c r="P129" s="505"/>
      <c r="Q129" s="505"/>
      <c r="R129" s="505"/>
      <c r="S129" s="505"/>
      <c r="T129" s="506"/>
      <c r="U129" s="391"/>
      <c r="V129" s="391"/>
      <c r="W129" s="391"/>
      <c r="X129" s="392"/>
      <c r="Y129" s="392"/>
      <c r="Z129" s="392"/>
      <c r="AA129" s="392"/>
      <c r="AB129" s="392"/>
      <c r="AC129" s="392"/>
    </row>
    <row r="130" spans="1:29" s="31" customFormat="1" x14ac:dyDescent="0.25">
      <c r="A130" s="389"/>
      <c r="B130" s="382" t="s">
        <v>386</v>
      </c>
      <c r="C130" s="380">
        <v>5</v>
      </c>
      <c r="D130" s="380">
        <v>8</v>
      </c>
      <c r="E130" s="380">
        <v>10</v>
      </c>
      <c r="F130" s="380">
        <v>12</v>
      </c>
      <c r="G130" s="380">
        <v>15</v>
      </c>
      <c r="H130" s="380">
        <v>20</v>
      </c>
      <c r="I130" s="380">
        <v>25</v>
      </c>
      <c r="J130" s="383">
        <v>30</v>
      </c>
      <c r="K130" s="376"/>
      <c r="L130" s="382" t="s">
        <v>386</v>
      </c>
      <c r="M130" s="380">
        <v>5</v>
      </c>
      <c r="N130" s="380">
        <v>8</v>
      </c>
      <c r="O130" s="380">
        <v>10</v>
      </c>
      <c r="P130" s="380">
        <v>12</v>
      </c>
      <c r="Q130" s="380">
        <v>15</v>
      </c>
      <c r="R130" s="380">
        <v>20</v>
      </c>
      <c r="S130" s="380">
        <v>25</v>
      </c>
      <c r="T130" s="383">
        <v>30</v>
      </c>
      <c r="U130" s="398"/>
      <c r="V130" s="391"/>
      <c r="W130" s="391"/>
      <c r="X130" s="392"/>
      <c r="Y130" s="392"/>
      <c r="Z130" s="392"/>
    </row>
    <row r="131" spans="1:29" s="31" customFormat="1" x14ac:dyDescent="0.25">
      <c r="A131" s="389"/>
      <c r="B131" s="507" t="s">
        <v>123</v>
      </c>
      <c r="C131" s="387"/>
      <c r="D131" s="387"/>
      <c r="E131" s="387"/>
      <c r="F131" s="387"/>
      <c r="G131" s="387"/>
      <c r="H131" s="387"/>
      <c r="I131" s="387"/>
      <c r="J131" s="388"/>
      <c r="K131" s="376"/>
      <c r="L131" s="507" t="s">
        <v>123</v>
      </c>
      <c r="M131" s="387"/>
      <c r="N131" s="387"/>
      <c r="O131" s="387"/>
      <c r="P131" s="387"/>
      <c r="Q131" s="387"/>
      <c r="R131" s="387"/>
      <c r="S131" s="387"/>
      <c r="T131" s="388"/>
      <c r="U131" s="398"/>
      <c r="V131" s="391"/>
      <c r="W131" s="391"/>
      <c r="X131" s="392"/>
      <c r="Y131" s="392"/>
      <c r="Z131" s="392"/>
    </row>
    <row r="132" spans="1:29" s="31" customFormat="1" x14ac:dyDescent="0.25">
      <c r="A132" s="389"/>
      <c r="B132" s="507"/>
      <c r="C132" s="387"/>
      <c r="D132" s="387"/>
      <c r="E132" s="387"/>
      <c r="F132" s="387"/>
      <c r="G132" s="387"/>
      <c r="H132" s="387"/>
      <c r="I132" s="387"/>
      <c r="J132" s="388"/>
      <c r="K132" s="376"/>
      <c r="L132" s="507"/>
      <c r="M132" s="387"/>
      <c r="N132" s="387"/>
      <c r="O132" s="387"/>
      <c r="P132" s="387"/>
      <c r="Q132" s="387"/>
      <c r="R132" s="387"/>
      <c r="S132" s="387"/>
      <c r="T132" s="388"/>
      <c r="U132" s="398"/>
      <c r="V132" s="391"/>
      <c r="W132" s="391"/>
      <c r="X132" s="392"/>
      <c r="Y132" s="392"/>
      <c r="Z132" s="392"/>
    </row>
    <row r="133" spans="1:29" s="31" customFormat="1" x14ac:dyDescent="0.25">
      <c r="A133" s="389"/>
      <c r="B133" s="507"/>
      <c r="C133" s="381"/>
      <c r="D133" s="381"/>
      <c r="E133" s="381"/>
      <c r="F133" s="381"/>
      <c r="G133" s="381"/>
      <c r="H133" s="381"/>
      <c r="I133" s="381"/>
      <c r="J133" s="384"/>
      <c r="K133" s="376"/>
      <c r="L133" s="507"/>
      <c r="M133" s="387"/>
      <c r="N133" s="387"/>
      <c r="O133" s="387"/>
      <c r="P133" s="387"/>
      <c r="Q133" s="387"/>
      <c r="R133" s="387"/>
      <c r="S133" s="387"/>
      <c r="T133" s="388"/>
      <c r="U133" s="398"/>
      <c r="V133" s="391"/>
      <c r="W133" s="391"/>
      <c r="X133" s="392"/>
      <c r="Y133" s="392"/>
      <c r="Z133" s="392"/>
    </row>
    <row r="134" spans="1:29" s="31" customFormat="1" x14ac:dyDescent="0.25">
      <c r="A134" s="389"/>
      <c r="B134" s="377" t="s">
        <v>29</v>
      </c>
      <c r="C134" s="381" t="str">
        <f>IF(ISNUMBER(AVERAGE(C131:C133)),AVERAGE(C131:C133),"")</f>
        <v/>
      </c>
      <c r="D134" s="381" t="str">
        <f t="shared" ref="D134" si="29">IF(ISNUMBER(AVERAGE(D131:D133)),AVERAGE(D131:D133),"")</f>
        <v/>
      </c>
      <c r="E134" s="381" t="str">
        <f t="shared" ref="E134" si="30">IF(ISNUMBER(AVERAGE(E131:E133)),AVERAGE(E131:E133),"")</f>
        <v/>
      </c>
      <c r="F134" s="381" t="str">
        <f t="shared" ref="F134" si="31">IF(ISNUMBER(AVERAGE(F131:F133)),AVERAGE(F131:F133),"")</f>
        <v/>
      </c>
      <c r="G134" s="381" t="str">
        <f t="shared" ref="G134" si="32">IF(ISNUMBER(AVERAGE(G131:G133)),AVERAGE(G131:G133),"")</f>
        <v/>
      </c>
      <c r="H134" s="381" t="str">
        <f t="shared" ref="H134" si="33">IF(ISNUMBER(AVERAGE(H131:H133)),AVERAGE(H131:H133),"")</f>
        <v/>
      </c>
      <c r="I134" s="381" t="str">
        <f t="shared" ref="I134" si="34">IF(ISNUMBER(AVERAGE(I131:I133)),AVERAGE(I131:I133),"")</f>
        <v/>
      </c>
      <c r="J134" s="384" t="str">
        <f t="shared" ref="J134" si="35">IF(ISNUMBER(AVERAGE(J131:J133)),AVERAGE(J131:J133),"")</f>
        <v/>
      </c>
      <c r="K134" s="376"/>
      <c r="L134" s="377" t="s">
        <v>29</v>
      </c>
      <c r="M134" s="381" t="str">
        <f>IF(ISNUMBER(AVERAGE(M131:M133)),AVERAGE(M131:M133),"")</f>
        <v/>
      </c>
      <c r="N134" s="381" t="str">
        <f t="shared" ref="N134" si="36">IF(ISNUMBER(AVERAGE(N131:N133)),AVERAGE(N131:N133),"")</f>
        <v/>
      </c>
      <c r="O134" s="381" t="str">
        <f t="shared" ref="O134" si="37">IF(ISNUMBER(AVERAGE(O131:O133)),AVERAGE(O131:O133),"")</f>
        <v/>
      </c>
      <c r="P134" s="381" t="str">
        <f t="shared" ref="P134" si="38">IF(ISNUMBER(AVERAGE(P131:P133)),AVERAGE(P131:P133),"")</f>
        <v/>
      </c>
      <c r="Q134" s="381" t="str">
        <f t="shared" ref="Q134" si="39">IF(ISNUMBER(AVERAGE(Q131:Q133)),AVERAGE(Q131:Q133),"")</f>
        <v/>
      </c>
      <c r="R134" s="381" t="str">
        <f t="shared" ref="R134" si="40">IF(ISNUMBER(AVERAGE(R131:R133)),AVERAGE(R131:R133),"")</f>
        <v/>
      </c>
      <c r="S134" s="381" t="str">
        <f t="shared" ref="S134" si="41">IF(ISNUMBER(AVERAGE(S131:S133)),AVERAGE(S131:S133),"")</f>
        <v/>
      </c>
      <c r="T134" s="384" t="str">
        <f t="shared" ref="T134" si="42">IF(ISNUMBER(AVERAGE(T131:T133)),AVERAGE(T131:T133),"")</f>
        <v/>
      </c>
      <c r="U134" s="398"/>
      <c r="V134" s="391"/>
      <c r="W134" s="391"/>
      <c r="X134" s="392"/>
      <c r="Y134" s="392"/>
      <c r="Z134" s="392"/>
    </row>
    <row r="135" spans="1:29" s="31" customFormat="1" x14ac:dyDescent="0.25">
      <c r="A135" s="389"/>
      <c r="B135" s="377" t="s">
        <v>155</v>
      </c>
      <c r="C135" s="381" t="str">
        <f>IF(ISNUMBER(C134/$E$134),C134/$E$134,"")</f>
        <v/>
      </c>
      <c r="D135" s="381" t="str">
        <f t="shared" ref="D135:J135" si="43">IF(ISNUMBER(D134/$E$134),D134/$E$134,"")</f>
        <v/>
      </c>
      <c r="E135" s="381" t="str">
        <f t="shared" si="43"/>
        <v/>
      </c>
      <c r="F135" s="381" t="str">
        <f t="shared" si="43"/>
        <v/>
      </c>
      <c r="G135" s="381" t="str">
        <f t="shared" si="43"/>
        <v/>
      </c>
      <c r="H135" s="381" t="str">
        <f t="shared" si="43"/>
        <v/>
      </c>
      <c r="I135" s="381" t="str">
        <f t="shared" si="43"/>
        <v/>
      </c>
      <c r="J135" s="384" t="str">
        <f t="shared" si="43"/>
        <v/>
      </c>
      <c r="K135" s="376"/>
      <c r="L135" s="377" t="s">
        <v>155</v>
      </c>
      <c r="M135" s="381" t="str">
        <f t="shared" ref="M135:T135" si="44">IF(ISNUMBER(M134/$O$134),M134/$O$134,"")</f>
        <v/>
      </c>
      <c r="N135" s="381" t="str">
        <f t="shared" si="44"/>
        <v/>
      </c>
      <c r="O135" s="381" t="str">
        <f t="shared" si="44"/>
        <v/>
      </c>
      <c r="P135" s="381" t="str">
        <f t="shared" si="44"/>
        <v/>
      </c>
      <c r="Q135" s="381" t="str">
        <f t="shared" si="44"/>
        <v/>
      </c>
      <c r="R135" s="381" t="str">
        <f t="shared" si="44"/>
        <v/>
      </c>
      <c r="S135" s="381" t="str">
        <f t="shared" si="44"/>
        <v/>
      </c>
      <c r="T135" s="384" t="str">
        <f t="shared" si="44"/>
        <v/>
      </c>
      <c r="U135" s="398"/>
      <c r="V135" s="391"/>
      <c r="W135" s="391"/>
      <c r="X135" s="392"/>
      <c r="Y135" s="392"/>
      <c r="Z135" s="392"/>
    </row>
    <row r="136" spans="1:29" s="31" customFormat="1" ht="21.75" customHeight="1" x14ac:dyDescent="0.25">
      <c r="A136" s="389"/>
      <c r="B136" s="377" t="s">
        <v>136</v>
      </c>
      <c r="C136" s="381">
        <v>0.91304347826086962</v>
      </c>
      <c r="D136" s="381">
        <v>0.97010869565217406</v>
      </c>
      <c r="E136" s="381">
        <v>1</v>
      </c>
      <c r="F136" s="381">
        <v>1.0203804347826086</v>
      </c>
      <c r="G136" s="381">
        <v>1.0461956521739131</v>
      </c>
      <c r="H136" s="381">
        <v>1.0774456521739131</v>
      </c>
      <c r="I136" s="381">
        <v>1.1005434782608696</v>
      </c>
      <c r="J136" s="384">
        <v>1.1168478260869565</v>
      </c>
      <c r="K136" s="376"/>
      <c r="L136" s="377" t="s">
        <v>136</v>
      </c>
      <c r="M136" s="381">
        <v>0.9396067415730337</v>
      </c>
      <c r="N136" s="381">
        <v>0.9817415730337079</v>
      </c>
      <c r="O136" s="381">
        <v>1</v>
      </c>
      <c r="P136" s="381">
        <v>1.0140449438202248</v>
      </c>
      <c r="Q136" s="381">
        <v>1.0308988764044944</v>
      </c>
      <c r="R136" s="381">
        <v>1.047752808988764</v>
      </c>
      <c r="S136" s="381">
        <v>1.0589887640449438</v>
      </c>
      <c r="T136" s="384">
        <v>1.0674157303370786</v>
      </c>
      <c r="U136" s="398"/>
      <c r="V136" s="391"/>
      <c r="W136" s="391"/>
      <c r="X136" s="392"/>
      <c r="Y136" s="392"/>
      <c r="Z136" s="392"/>
    </row>
    <row r="137" spans="1:29" s="31" customFormat="1" ht="15.75" thickBot="1" x14ac:dyDescent="0.3">
      <c r="A137" s="389"/>
      <c r="B137" s="379" t="s">
        <v>86</v>
      </c>
      <c r="C137" s="393" t="str">
        <f>IF(ISNUMBER((C136-C135)/C136*100),(C136-C135)/C136*100,"")</f>
        <v/>
      </c>
      <c r="D137" s="393" t="str">
        <f t="shared" ref="D137" si="45">IF(ISNUMBER((D136-D135)/D136*100),(D136-D135)/D136*100,"")</f>
        <v/>
      </c>
      <c r="E137" s="393" t="str">
        <f t="shared" ref="E137" si="46">IF(ISNUMBER((E136-E135)/E136*100),(E136-E135)/E136*100,"")</f>
        <v/>
      </c>
      <c r="F137" s="393" t="str">
        <f t="shared" ref="F137" si="47">IF(ISNUMBER((F136-F135)/F136*100),(F136-F135)/F136*100,"")</f>
        <v/>
      </c>
      <c r="G137" s="393" t="str">
        <f t="shared" ref="G137" si="48">IF(ISNUMBER((G136-G135)/G136*100),(G136-G135)/G136*100,"")</f>
        <v/>
      </c>
      <c r="H137" s="393" t="str">
        <f t="shared" ref="H137" si="49">IF(ISNUMBER((H136-H135)/H136*100),(H136-H135)/H136*100,"")</f>
        <v/>
      </c>
      <c r="I137" s="393" t="str">
        <f t="shared" ref="I137" si="50">IF(ISNUMBER((I136-I135)/I136*100),(I136-I135)/I136*100,"")</f>
        <v/>
      </c>
      <c r="J137" s="394" t="str">
        <f t="shared" ref="J137" si="51">IF(ISNUMBER((J136-J135)/J136*100),(J136-J135)/J136*100,"")</f>
        <v/>
      </c>
      <c r="K137" s="376"/>
      <c r="L137" s="379" t="s">
        <v>86</v>
      </c>
      <c r="M137" s="393" t="str">
        <f>IF(ISNUMBER((M136-M135)/M136*100),(M136-M135)/M136*100,"")</f>
        <v/>
      </c>
      <c r="N137" s="393" t="str">
        <f t="shared" ref="N137:T137" si="52">IF(ISNUMBER((N136-N135)/N136*100),(N136-N135)/N136*100,"")</f>
        <v/>
      </c>
      <c r="O137" s="393" t="str">
        <f t="shared" si="52"/>
        <v/>
      </c>
      <c r="P137" s="393" t="str">
        <f t="shared" si="52"/>
        <v/>
      </c>
      <c r="Q137" s="393" t="str">
        <f t="shared" si="52"/>
        <v/>
      </c>
      <c r="R137" s="393" t="str">
        <f t="shared" si="52"/>
        <v/>
      </c>
      <c r="S137" s="393" t="str">
        <f t="shared" si="52"/>
        <v/>
      </c>
      <c r="T137" s="394" t="str">
        <f t="shared" si="52"/>
        <v/>
      </c>
      <c r="U137" s="398"/>
      <c r="V137" s="391"/>
      <c r="W137" s="391"/>
      <c r="X137" s="392"/>
      <c r="Y137" s="392"/>
      <c r="Z137" s="392"/>
    </row>
    <row r="138" spans="1:29" s="31" customFormat="1" x14ac:dyDescent="0.25">
      <c r="A138" s="389"/>
      <c r="B138" s="378"/>
      <c r="C138" s="399"/>
      <c r="D138" s="399"/>
      <c r="E138" s="399"/>
      <c r="F138" s="399"/>
      <c r="G138" s="399"/>
      <c r="H138" s="399"/>
      <c r="I138" s="399"/>
      <c r="J138" s="399"/>
      <c r="K138" s="376"/>
      <c r="U138" s="398"/>
      <c r="V138" s="391"/>
      <c r="W138" s="391"/>
      <c r="X138" s="392"/>
      <c r="Y138" s="392"/>
      <c r="Z138" s="392"/>
    </row>
    <row r="139" spans="1:29" s="31" customFormat="1" ht="15.75" thickBot="1" x14ac:dyDescent="0.3">
      <c r="A139" s="389"/>
      <c r="B139" s="397"/>
      <c r="C139" s="397"/>
      <c r="D139" s="397"/>
      <c r="E139" s="397"/>
      <c r="F139" s="397"/>
      <c r="G139" s="397"/>
      <c r="H139" s="397"/>
      <c r="I139" s="397"/>
      <c r="J139" s="397"/>
      <c r="K139" s="376"/>
      <c r="L139" s="378"/>
      <c r="M139" s="399"/>
      <c r="N139" s="399"/>
      <c r="O139" s="399"/>
      <c r="P139" s="399"/>
      <c r="Q139" s="399"/>
      <c r="R139" s="399"/>
      <c r="S139" s="399"/>
      <c r="T139" s="399"/>
      <c r="U139" s="398"/>
      <c r="V139" s="391"/>
      <c r="W139" s="391"/>
      <c r="X139" s="392"/>
      <c r="Y139" s="392"/>
      <c r="Z139" s="392"/>
    </row>
    <row r="140" spans="1:29" s="31" customFormat="1" ht="18.75" x14ac:dyDescent="0.25">
      <c r="A140" s="389"/>
      <c r="B140" s="390"/>
      <c r="C140" s="505" t="s">
        <v>33</v>
      </c>
      <c r="D140" s="505"/>
      <c r="E140" s="505"/>
      <c r="F140" s="505"/>
      <c r="G140" s="505"/>
      <c r="H140" s="505"/>
      <c r="I140" s="505"/>
      <c r="J140" s="506"/>
      <c r="K140" s="376"/>
      <c r="U140" s="398"/>
      <c r="V140" s="391"/>
      <c r="W140" s="391"/>
      <c r="X140" s="392"/>
      <c r="Y140" s="392"/>
      <c r="Z140" s="392"/>
    </row>
    <row r="141" spans="1:29" s="31" customFormat="1" x14ac:dyDescent="0.25">
      <c r="A141" s="389"/>
      <c r="B141" s="382" t="s">
        <v>386</v>
      </c>
      <c r="C141" s="380">
        <v>5</v>
      </c>
      <c r="D141" s="380">
        <v>8</v>
      </c>
      <c r="E141" s="380">
        <v>10</v>
      </c>
      <c r="F141" s="380">
        <v>12</v>
      </c>
      <c r="G141" s="380">
        <v>15</v>
      </c>
      <c r="H141" s="380">
        <v>20</v>
      </c>
      <c r="I141" s="380">
        <v>25</v>
      </c>
      <c r="J141" s="383">
        <v>30</v>
      </c>
      <c r="K141" s="376"/>
      <c r="U141" s="398"/>
      <c r="V141" s="391"/>
      <c r="W141" s="391"/>
      <c r="X141" s="392"/>
      <c r="Y141" s="392"/>
      <c r="Z141" s="392"/>
    </row>
    <row r="142" spans="1:29" s="31" customFormat="1" ht="15" customHeight="1" x14ac:dyDescent="0.25">
      <c r="A142" s="389"/>
      <c r="B142" s="507" t="s">
        <v>123</v>
      </c>
      <c r="C142" s="387"/>
      <c r="D142" s="387"/>
      <c r="E142" s="387"/>
      <c r="F142" s="387"/>
      <c r="G142" s="387"/>
      <c r="H142" s="387"/>
      <c r="I142" s="387"/>
      <c r="J142" s="388"/>
      <c r="K142" s="376"/>
      <c r="U142" s="398"/>
      <c r="V142" s="391"/>
      <c r="W142" s="391"/>
      <c r="X142" s="392"/>
      <c r="Y142" s="392"/>
      <c r="Z142" s="392"/>
    </row>
    <row r="143" spans="1:29" s="31" customFormat="1" x14ac:dyDescent="0.25">
      <c r="A143" s="389"/>
      <c r="B143" s="507"/>
      <c r="C143" s="387"/>
      <c r="D143" s="387"/>
      <c r="E143" s="387"/>
      <c r="F143" s="387"/>
      <c r="G143" s="387"/>
      <c r="H143" s="387"/>
      <c r="I143" s="387"/>
      <c r="J143" s="388"/>
      <c r="K143" s="376"/>
      <c r="U143" s="398"/>
      <c r="V143" s="391"/>
      <c r="W143" s="391"/>
      <c r="X143" s="392"/>
      <c r="Y143" s="392"/>
      <c r="Z143" s="392"/>
    </row>
    <row r="144" spans="1:29" s="31" customFormat="1" x14ac:dyDescent="0.25">
      <c r="A144" s="389"/>
      <c r="B144" s="507"/>
      <c r="C144" s="387"/>
      <c r="D144" s="387"/>
      <c r="E144" s="387"/>
      <c r="F144" s="387"/>
      <c r="G144" s="387"/>
      <c r="H144" s="387"/>
      <c r="I144" s="387"/>
      <c r="J144" s="388"/>
      <c r="K144" s="376"/>
      <c r="U144" s="398"/>
      <c r="V144" s="391"/>
      <c r="W144" s="391"/>
      <c r="X144" s="392"/>
      <c r="Y144" s="392"/>
      <c r="Z144" s="392"/>
    </row>
    <row r="145" spans="1:26" s="31" customFormat="1" x14ac:dyDescent="0.25">
      <c r="A145" s="389"/>
      <c r="B145" s="377" t="s">
        <v>29</v>
      </c>
      <c r="C145" s="381" t="str">
        <f>IF(ISNUMBER(AVERAGE(C142:C144)),AVERAGE(C142:C144),"")</f>
        <v/>
      </c>
      <c r="D145" s="381" t="str">
        <f t="shared" ref="D145" si="53">IF(ISNUMBER(AVERAGE(D142:D144)),AVERAGE(D142:D144),"")</f>
        <v/>
      </c>
      <c r="E145" s="381" t="str">
        <f t="shared" ref="E145" si="54">IF(ISNUMBER(AVERAGE(E142:E144)),AVERAGE(E142:E144),"")</f>
        <v/>
      </c>
      <c r="F145" s="381" t="str">
        <f t="shared" ref="F145" si="55">IF(ISNUMBER(AVERAGE(F142:F144)),AVERAGE(F142:F144),"")</f>
        <v/>
      </c>
      <c r="G145" s="381" t="str">
        <f t="shared" ref="G145" si="56">IF(ISNUMBER(AVERAGE(G142:G144)),AVERAGE(G142:G144),"")</f>
        <v/>
      </c>
      <c r="H145" s="381" t="str">
        <f t="shared" ref="H145" si="57">IF(ISNUMBER(AVERAGE(H142:H144)),AVERAGE(H142:H144),"")</f>
        <v/>
      </c>
      <c r="I145" s="381" t="str">
        <f t="shared" ref="I145" si="58">IF(ISNUMBER(AVERAGE(I142:I144)),AVERAGE(I142:I144),"")</f>
        <v/>
      </c>
      <c r="J145" s="384" t="str">
        <f t="shared" ref="J145" si="59">IF(ISNUMBER(AVERAGE(J142:J144)),AVERAGE(J142:J144),"")</f>
        <v/>
      </c>
      <c r="K145" s="376"/>
      <c r="U145" s="398"/>
      <c r="V145" s="391"/>
      <c r="W145" s="391"/>
      <c r="X145" s="392"/>
      <c r="Y145" s="392"/>
      <c r="Z145" s="392"/>
    </row>
    <row r="146" spans="1:26" s="31" customFormat="1" x14ac:dyDescent="0.25">
      <c r="A146" s="389"/>
      <c r="B146" s="377" t="s">
        <v>155</v>
      </c>
      <c r="C146" s="381" t="str">
        <f t="shared" ref="C146:J146" si="60">IF(ISNUMBER(C145/$E$145),C145/$E$145,"")</f>
        <v/>
      </c>
      <c r="D146" s="381" t="str">
        <f t="shared" si="60"/>
        <v/>
      </c>
      <c r="E146" s="381" t="str">
        <f t="shared" si="60"/>
        <v/>
      </c>
      <c r="F146" s="381" t="str">
        <f t="shared" si="60"/>
        <v/>
      </c>
      <c r="G146" s="381" t="str">
        <f t="shared" si="60"/>
        <v/>
      </c>
      <c r="H146" s="381" t="str">
        <f t="shared" si="60"/>
        <v/>
      </c>
      <c r="I146" s="381" t="str">
        <f t="shared" si="60"/>
        <v/>
      </c>
      <c r="J146" s="384" t="str">
        <f t="shared" si="60"/>
        <v/>
      </c>
      <c r="K146" s="376"/>
      <c r="U146" s="398"/>
      <c r="V146" s="391"/>
      <c r="W146" s="391"/>
      <c r="X146" s="392"/>
      <c r="Y146" s="392"/>
      <c r="Z146" s="392"/>
    </row>
    <row r="147" spans="1:26" s="31" customFormat="1" x14ac:dyDescent="0.25">
      <c r="A147" s="389"/>
      <c r="B147" s="377" t="s">
        <v>136</v>
      </c>
      <c r="C147" s="381">
        <v>0.92249999999999999</v>
      </c>
      <c r="D147" s="381">
        <v>0.97499999999999998</v>
      </c>
      <c r="E147" s="381">
        <v>1</v>
      </c>
      <c r="F147" s="381">
        <v>1.0162499999999999</v>
      </c>
      <c r="G147" s="381">
        <v>1.0337499999999999</v>
      </c>
      <c r="H147" s="381">
        <v>1.0587500000000001</v>
      </c>
      <c r="I147" s="381">
        <v>1.0775000000000001</v>
      </c>
      <c r="J147" s="384">
        <v>1.0912500000000001</v>
      </c>
      <c r="K147" s="395"/>
      <c r="U147" s="391"/>
      <c r="V147" s="391"/>
      <c r="W147" s="391"/>
      <c r="X147" s="392"/>
      <c r="Y147" s="392"/>
    </row>
    <row r="148" spans="1:26" s="31" customFormat="1" ht="15.75" thickBot="1" x14ac:dyDescent="0.3">
      <c r="A148" s="389"/>
      <c r="B148" s="379" t="s">
        <v>86</v>
      </c>
      <c r="C148" s="393" t="str">
        <f>IF(ISNUMBER((C147-C146)/C147*100),(C147-C146)/C147*100,"")</f>
        <v/>
      </c>
      <c r="D148" s="393" t="str">
        <f t="shared" ref="D148" si="61">IF(ISNUMBER((D147-D146)/D147*100),(D147-D146)/D147*100,"")</f>
        <v/>
      </c>
      <c r="E148" s="393" t="str">
        <f t="shared" ref="E148" si="62">IF(ISNUMBER((E147-E146)/E147*100),(E147-E146)/E147*100,"")</f>
        <v/>
      </c>
      <c r="F148" s="393" t="str">
        <f t="shared" ref="F148" si="63">IF(ISNUMBER((F147-F146)/F147*100),(F147-F146)/F147*100,"")</f>
        <v/>
      </c>
      <c r="G148" s="393" t="str">
        <f t="shared" ref="G148" si="64">IF(ISNUMBER((G147-G146)/G147*100),(G147-G146)/G147*100,"")</f>
        <v/>
      </c>
      <c r="H148" s="393" t="str">
        <f t="shared" ref="H148" si="65">IF(ISNUMBER((H147-H146)/H147*100),(H147-H146)/H147*100,"")</f>
        <v/>
      </c>
      <c r="I148" s="393" t="str">
        <f t="shared" ref="I148" si="66">IF(ISNUMBER((I147-I146)/I147*100),(I147-I146)/I147*100,"")</f>
        <v/>
      </c>
      <c r="J148" s="394" t="str">
        <f t="shared" ref="J148" si="67">IF(ISNUMBER((J147-J146)/J147*100),(J147-J146)/J147*100,"")</f>
        <v/>
      </c>
      <c r="K148" s="395"/>
      <c r="U148" s="391"/>
      <c r="V148" s="391"/>
      <c r="W148" s="391"/>
      <c r="X148" s="392"/>
      <c r="Y148" s="392"/>
    </row>
    <row r="149" spans="1:26" x14ac:dyDescent="0.25">
      <c r="A149" s="33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111"/>
      <c r="M149" s="113"/>
      <c r="N149" s="113"/>
      <c r="O149" s="113"/>
      <c r="P149" s="113"/>
      <c r="Q149" s="113"/>
      <c r="R149" s="113"/>
      <c r="S149" s="113"/>
      <c r="T149" s="113"/>
      <c r="U149" s="33"/>
      <c r="V149" s="33"/>
      <c r="W149" s="33"/>
    </row>
    <row r="150" spans="1:26" ht="18.75" x14ac:dyDescent="0.3">
      <c r="A150" s="364" t="s">
        <v>379</v>
      </c>
      <c r="T150" s="78"/>
      <c r="U150" s="79"/>
      <c r="V150" s="78"/>
      <c r="W150" s="78"/>
      <c r="X150" s="78"/>
      <c r="Y150" s="78"/>
    </row>
    <row r="151" spans="1:26" s="31" customFormat="1" x14ac:dyDescent="0.25">
      <c r="A151" s="31" t="s">
        <v>157</v>
      </c>
      <c r="T151" s="428"/>
      <c r="U151" s="392"/>
      <c r="V151" s="428"/>
      <c r="W151" s="428"/>
      <c r="X151" s="428"/>
      <c r="Y151" s="428"/>
    </row>
    <row r="152" spans="1:26" x14ac:dyDescent="0.25">
      <c r="A152" s="4" t="s">
        <v>193</v>
      </c>
      <c r="B152" s="87"/>
      <c r="C152" s="87"/>
      <c r="D152" s="375"/>
      <c r="E152" s="87"/>
      <c r="F152" s="87"/>
      <c r="G152" s="87"/>
      <c r="H152" s="87"/>
      <c r="I152" s="87"/>
      <c r="J152" s="87"/>
      <c r="K152" s="375"/>
      <c r="L152" s="87"/>
      <c r="M152" s="87"/>
      <c r="N152" s="87"/>
      <c r="O152" s="87"/>
      <c r="P152" s="87"/>
      <c r="Q152" s="78"/>
      <c r="R152" s="78"/>
      <c r="S152" s="78"/>
    </row>
    <row r="153" spans="1:26" s="31" customFormat="1" ht="15.75" thickBot="1" x14ac:dyDescent="0.3">
      <c r="B153" s="397"/>
      <c r="H153" s="376"/>
      <c r="I153" s="397"/>
      <c r="O153" s="418"/>
      <c r="P153" s="397"/>
    </row>
    <row r="154" spans="1:26" s="31" customFormat="1" ht="18.75" x14ac:dyDescent="0.25">
      <c r="B154" s="420" t="s">
        <v>158</v>
      </c>
      <c r="C154" s="505" t="s">
        <v>107</v>
      </c>
      <c r="D154" s="505"/>
      <c r="E154" s="505"/>
      <c r="F154" s="505"/>
      <c r="G154" s="506"/>
      <c r="H154" s="376"/>
      <c r="I154" s="420" t="s">
        <v>160</v>
      </c>
      <c r="J154" s="505" t="s">
        <v>108</v>
      </c>
      <c r="K154" s="505"/>
      <c r="L154" s="505"/>
      <c r="M154" s="505"/>
      <c r="N154" s="506"/>
      <c r="O154" s="418"/>
      <c r="P154" s="420" t="s">
        <v>159</v>
      </c>
      <c r="Q154" s="505" t="s">
        <v>109</v>
      </c>
      <c r="R154" s="505"/>
      <c r="S154" s="505"/>
      <c r="T154" s="505"/>
      <c r="U154" s="506"/>
    </row>
    <row r="155" spans="1:26" s="31" customFormat="1" x14ac:dyDescent="0.25">
      <c r="B155" s="382" t="s">
        <v>386</v>
      </c>
      <c r="C155" s="380" t="s">
        <v>116</v>
      </c>
      <c r="D155" s="380" t="s">
        <v>117</v>
      </c>
      <c r="E155" s="380" t="s">
        <v>118</v>
      </c>
      <c r="F155" s="380" t="s">
        <v>119</v>
      </c>
      <c r="G155" s="383" t="s">
        <v>120</v>
      </c>
      <c r="H155" s="376"/>
      <c r="I155" s="382" t="s">
        <v>386</v>
      </c>
      <c r="J155" s="380" t="s">
        <v>116</v>
      </c>
      <c r="K155" s="380" t="s">
        <v>117</v>
      </c>
      <c r="L155" s="380" t="s">
        <v>118</v>
      </c>
      <c r="M155" s="380" t="s">
        <v>119</v>
      </c>
      <c r="N155" s="383" t="s">
        <v>120</v>
      </c>
      <c r="O155" s="418"/>
      <c r="P155" s="382" t="s">
        <v>386</v>
      </c>
      <c r="Q155" s="380" t="s">
        <v>116</v>
      </c>
      <c r="R155" s="380" t="s">
        <v>117</v>
      </c>
      <c r="S155" s="380" t="s">
        <v>118</v>
      </c>
      <c r="T155" s="380" t="s">
        <v>119</v>
      </c>
      <c r="U155" s="383" t="s">
        <v>120</v>
      </c>
    </row>
    <row r="156" spans="1:26" s="31" customFormat="1" x14ac:dyDescent="0.25">
      <c r="B156" s="507" t="s">
        <v>123</v>
      </c>
      <c r="C156" s="387"/>
      <c r="D156" s="387"/>
      <c r="E156" s="387"/>
      <c r="F156" s="387"/>
      <c r="G156" s="388"/>
      <c r="H156" s="376"/>
      <c r="I156" s="507" t="s">
        <v>123</v>
      </c>
      <c r="J156" s="387"/>
      <c r="K156" s="387"/>
      <c r="L156" s="387"/>
      <c r="M156" s="387"/>
      <c r="N156" s="388"/>
      <c r="O156" s="418"/>
      <c r="P156" s="507" t="s">
        <v>123</v>
      </c>
      <c r="Q156" s="387"/>
      <c r="R156" s="387"/>
      <c r="S156" s="387"/>
      <c r="T156" s="387"/>
      <c r="U156" s="388"/>
    </row>
    <row r="157" spans="1:26" s="31" customFormat="1" x14ac:dyDescent="0.25">
      <c r="B157" s="507"/>
      <c r="C157" s="387"/>
      <c r="D157" s="387"/>
      <c r="E157" s="387"/>
      <c r="F157" s="387"/>
      <c r="G157" s="388"/>
      <c r="H157" s="376"/>
      <c r="I157" s="507"/>
      <c r="J157" s="387"/>
      <c r="K157" s="387"/>
      <c r="L157" s="387"/>
      <c r="M157" s="387"/>
      <c r="N157" s="388"/>
      <c r="O157" s="418"/>
      <c r="P157" s="507"/>
      <c r="Q157" s="387"/>
      <c r="R157" s="387"/>
      <c r="S157" s="387"/>
      <c r="T157" s="387"/>
      <c r="U157" s="388"/>
    </row>
    <row r="158" spans="1:26" s="31" customFormat="1" x14ac:dyDescent="0.25">
      <c r="B158" s="507"/>
      <c r="C158" s="387"/>
      <c r="D158" s="387"/>
      <c r="E158" s="387"/>
      <c r="F158" s="387"/>
      <c r="G158" s="388"/>
      <c r="H158" s="376"/>
      <c r="I158" s="507"/>
      <c r="J158" s="387"/>
      <c r="K158" s="387"/>
      <c r="L158" s="387"/>
      <c r="M158" s="387"/>
      <c r="N158" s="388"/>
      <c r="O158" s="418"/>
      <c r="P158" s="507"/>
      <c r="Q158" s="387"/>
      <c r="R158" s="387"/>
      <c r="S158" s="387"/>
      <c r="T158" s="387"/>
      <c r="U158" s="388"/>
    </row>
    <row r="159" spans="1:26" s="31" customFormat="1" x14ac:dyDescent="0.25">
      <c r="B159" s="377" t="s">
        <v>29</v>
      </c>
      <c r="C159" s="381" t="str">
        <f>IF(ISNUMBER(AVERAGE(C156:C158)),AVERAGE(C156:C158),"")</f>
        <v/>
      </c>
      <c r="D159" s="381" t="str">
        <f t="shared" ref="D159:G159" si="68">IF(ISNUMBER(AVERAGE(D156:D158)),AVERAGE(D156:D158),"")</f>
        <v/>
      </c>
      <c r="E159" s="381" t="str">
        <f t="shared" si="68"/>
        <v/>
      </c>
      <c r="F159" s="381" t="str">
        <f t="shared" si="68"/>
        <v/>
      </c>
      <c r="G159" s="384" t="str">
        <f t="shared" si="68"/>
        <v/>
      </c>
      <c r="H159" s="376"/>
      <c r="I159" s="377" t="s">
        <v>29</v>
      </c>
      <c r="J159" s="381" t="str">
        <f t="shared" ref="J159:N159" si="69">IF(ISNUMBER(AVERAGE(J156:J158)),AVERAGE(J156:J158),"")</f>
        <v/>
      </c>
      <c r="K159" s="381" t="str">
        <f t="shared" si="69"/>
        <v/>
      </c>
      <c r="L159" s="381" t="str">
        <f t="shared" si="69"/>
        <v/>
      </c>
      <c r="M159" s="381" t="str">
        <f t="shared" si="69"/>
        <v/>
      </c>
      <c r="N159" s="384" t="str">
        <f t="shared" si="69"/>
        <v/>
      </c>
      <c r="O159" s="418"/>
      <c r="P159" s="377" t="s">
        <v>29</v>
      </c>
      <c r="Q159" s="381" t="str">
        <f t="shared" ref="Q159:U159" si="70">IF(ISNUMBER(AVERAGE(Q156:Q158)),AVERAGE(Q156:Q158),"")</f>
        <v/>
      </c>
      <c r="R159" s="381" t="str">
        <f t="shared" si="70"/>
        <v/>
      </c>
      <c r="S159" s="381" t="str">
        <f t="shared" si="70"/>
        <v/>
      </c>
      <c r="T159" s="381" t="str">
        <f t="shared" si="70"/>
        <v/>
      </c>
      <c r="U159" s="384" t="str">
        <f t="shared" si="70"/>
        <v/>
      </c>
    </row>
    <row r="160" spans="1:26" s="31" customFormat="1" x14ac:dyDescent="0.25">
      <c r="B160" s="377" t="s">
        <v>155</v>
      </c>
      <c r="C160" s="381" t="str">
        <f>IF(ISNUMBER(C159/$D159),C159/$D159,"")</f>
        <v/>
      </c>
      <c r="D160" s="381" t="str">
        <f t="shared" ref="D160:G160" si="71">IF(ISNUMBER(D159/$D159),D159/$D159,"")</f>
        <v/>
      </c>
      <c r="E160" s="381" t="str">
        <f t="shared" si="71"/>
        <v/>
      </c>
      <c r="F160" s="381" t="str">
        <f t="shared" si="71"/>
        <v/>
      </c>
      <c r="G160" s="384" t="str">
        <f t="shared" si="71"/>
        <v/>
      </c>
      <c r="H160" s="376"/>
      <c r="I160" s="377" t="s">
        <v>155</v>
      </c>
      <c r="J160" s="381" t="str">
        <f>IF(ISNUMBER(J159/$K159),J159/$K159,"")</f>
        <v/>
      </c>
      <c r="K160" s="381" t="str">
        <f t="shared" ref="K160:N160" si="72">IF(ISNUMBER(K159/$K159),K159/$K159,"")</f>
        <v/>
      </c>
      <c r="L160" s="381" t="str">
        <f t="shared" si="72"/>
        <v/>
      </c>
      <c r="M160" s="381" t="str">
        <f t="shared" si="72"/>
        <v/>
      </c>
      <c r="N160" s="384" t="str">
        <f t="shared" si="72"/>
        <v/>
      </c>
      <c r="O160" s="418"/>
      <c r="P160" s="377" t="s">
        <v>155</v>
      </c>
      <c r="Q160" s="381" t="str">
        <f>IF(ISNUMBER(Q159/$R159),Q159/$R159,"")</f>
        <v/>
      </c>
      <c r="R160" s="381" t="str">
        <f t="shared" ref="R160:U160" si="73">IF(ISNUMBER(R159/$R159),R159/$R159,"")</f>
        <v/>
      </c>
      <c r="S160" s="381" t="str">
        <f t="shared" si="73"/>
        <v/>
      </c>
      <c r="T160" s="381" t="str">
        <f t="shared" si="73"/>
        <v/>
      </c>
      <c r="U160" s="384" t="str">
        <f t="shared" si="73"/>
        <v/>
      </c>
    </row>
    <row r="161" spans="1:22" s="31" customFormat="1" x14ac:dyDescent="0.25">
      <c r="B161" s="377" t="s">
        <v>136</v>
      </c>
      <c r="C161" s="381">
        <v>0.94899999999999995</v>
      </c>
      <c r="D161" s="381">
        <v>1</v>
      </c>
      <c r="E161" s="381">
        <v>1.0009999999999999</v>
      </c>
      <c r="F161" s="381">
        <v>1.044</v>
      </c>
      <c r="G161" s="384">
        <v>1.0669999999999999</v>
      </c>
      <c r="H161" s="376"/>
      <c r="I161" s="377" t="s">
        <v>136</v>
      </c>
      <c r="J161" s="381">
        <v>0.99</v>
      </c>
      <c r="K161" s="381">
        <v>1</v>
      </c>
      <c r="L161" s="381">
        <v>0.995</v>
      </c>
      <c r="M161" s="381">
        <v>1.01</v>
      </c>
      <c r="N161" s="384">
        <v>1.0109999999999999</v>
      </c>
      <c r="O161" s="418"/>
      <c r="P161" s="377" t="s">
        <v>136</v>
      </c>
      <c r="Q161" s="381">
        <v>0.96099999999999997</v>
      </c>
      <c r="R161" s="381">
        <v>1</v>
      </c>
      <c r="S161" s="381">
        <v>1.004</v>
      </c>
      <c r="T161" s="381">
        <v>1.004</v>
      </c>
      <c r="U161" s="384">
        <v>0.99</v>
      </c>
    </row>
    <row r="162" spans="1:22" s="31" customFormat="1" ht="15.75" thickBot="1" x14ac:dyDescent="0.3">
      <c r="B162" s="379" t="s">
        <v>86</v>
      </c>
      <c r="C162" s="393" t="str">
        <f t="shared" ref="C162" si="74">IF(ISNUMBER((C161-C160)/C161*100),(C161-C160)/C161*100,"")</f>
        <v/>
      </c>
      <c r="D162" s="393" t="str">
        <f t="shared" ref="D162" si="75">IF(ISNUMBER((D161-D160)/D161*100),(D161-D160)/D161*100,"")</f>
        <v/>
      </c>
      <c r="E162" s="393" t="str">
        <f t="shared" ref="E162" si="76">IF(ISNUMBER((E161-E160)/E161*100),(E161-E160)/E161*100,"")</f>
        <v/>
      </c>
      <c r="F162" s="393" t="str">
        <f t="shared" ref="F162" si="77">IF(ISNUMBER((F161-F160)/F161*100),(F161-F160)/F161*100,"")</f>
        <v/>
      </c>
      <c r="G162" s="394" t="str">
        <f t="shared" ref="G162" si="78">IF(ISNUMBER((G161-G160)/G161*100),(G161-G160)/G161*100,"")</f>
        <v/>
      </c>
      <c r="H162" s="376"/>
      <c r="I162" s="379" t="s">
        <v>86</v>
      </c>
      <c r="J162" s="393" t="str">
        <f t="shared" ref="J162" si="79">IF(ISNUMBER((J161-J160)/J161*100),(J161-J160)/J161*100,"")</f>
        <v/>
      </c>
      <c r="K162" s="393" t="str">
        <f t="shared" ref="K162" si="80">IF(ISNUMBER((K161-K160)/K161*100),(K161-K160)/K161*100,"")</f>
        <v/>
      </c>
      <c r="L162" s="393" t="str">
        <f t="shared" ref="L162" si="81">IF(ISNUMBER((L161-L160)/L161*100),(L161-L160)/L161*100,"")</f>
        <v/>
      </c>
      <c r="M162" s="393" t="str">
        <f t="shared" ref="M162" si="82">IF(ISNUMBER((M161-M160)/M161*100),(M161-M160)/M161*100,"")</f>
        <v/>
      </c>
      <c r="N162" s="394" t="str">
        <f t="shared" ref="N162" si="83">IF(ISNUMBER((N161-N160)/N161*100),(N161-N160)/N161*100,"")</f>
        <v/>
      </c>
      <c r="O162" s="418"/>
      <c r="P162" s="379" t="s">
        <v>86</v>
      </c>
      <c r="Q162" s="393" t="str">
        <f t="shared" ref="Q162" si="84">IF(ISNUMBER((Q161-Q160)/Q161*100),(Q161-Q160)/Q161*100,"")</f>
        <v/>
      </c>
      <c r="R162" s="393" t="str">
        <f t="shared" ref="R162" si="85">IF(ISNUMBER((R161-R160)/R161*100),(R161-R160)/R161*100,"")</f>
        <v/>
      </c>
      <c r="S162" s="393" t="str">
        <f t="shared" ref="S162" si="86">IF(ISNUMBER((S161-S160)/S161*100),(S161-S160)/S161*100,"")</f>
        <v/>
      </c>
      <c r="T162" s="393" t="str">
        <f t="shared" ref="T162" si="87">IF(ISNUMBER((T161-T160)/T161*100),(T161-T160)/T161*100,"")</f>
        <v/>
      </c>
      <c r="U162" s="394" t="str">
        <f t="shared" ref="U162" si="88">IF(ISNUMBER((U161-U160)/U161*100),(U161-U160)/U161*100,"")</f>
        <v/>
      </c>
    </row>
    <row r="163" spans="1:22" s="31" customFormat="1" ht="15.75" thickBot="1" x14ac:dyDescent="0.3">
      <c r="B163" s="397"/>
      <c r="H163" s="376"/>
      <c r="I163" s="397"/>
      <c r="O163" s="418"/>
      <c r="P163" s="419"/>
      <c r="Q163" s="419"/>
      <c r="R163" s="419"/>
      <c r="S163" s="419"/>
    </row>
    <row r="164" spans="1:22" s="31" customFormat="1" ht="18.75" x14ac:dyDescent="0.25">
      <c r="B164" s="420" t="s">
        <v>159</v>
      </c>
      <c r="C164" s="505" t="s">
        <v>152</v>
      </c>
      <c r="D164" s="505"/>
      <c r="E164" s="505"/>
      <c r="F164" s="505"/>
      <c r="G164" s="506"/>
      <c r="H164" s="376"/>
      <c r="I164" s="420" t="s">
        <v>160</v>
      </c>
      <c r="J164" s="505" t="s">
        <v>153</v>
      </c>
      <c r="K164" s="505"/>
      <c r="L164" s="505"/>
      <c r="M164" s="505"/>
      <c r="N164" s="506"/>
      <c r="O164" s="418"/>
      <c r="P164" s="419"/>
      <c r="Q164" s="419"/>
      <c r="R164" s="419"/>
      <c r="S164" s="419"/>
    </row>
    <row r="165" spans="1:22" s="31" customFormat="1" x14ac:dyDescent="0.25">
      <c r="B165" s="382" t="s">
        <v>386</v>
      </c>
      <c r="C165" s="380" t="s">
        <v>116</v>
      </c>
      <c r="D165" s="380" t="s">
        <v>117</v>
      </c>
      <c r="E165" s="380" t="s">
        <v>118</v>
      </c>
      <c r="F165" s="380" t="s">
        <v>119</v>
      </c>
      <c r="G165" s="383" t="s">
        <v>120</v>
      </c>
      <c r="H165" s="376"/>
      <c r="I165" s="382" t="s">
        <v>386</v>
      </c>
      <c r="J165" s="380" t="s">
        <v>116</v>
      </c>
      <c r="K165" s="380" t="s">
        <v>117</v>
      </c>
      <c r="L165" s="380" t="s">
        <v>118</v>
      </c>
      <c r="M165" s="380" t="s">
        <v>119</v>
      </c>
      <c r="N165" s="383" t="s">
        <v>120</v>
      </c>
      <c r="O165" s="418"/>
      <c r="P165" s="419"/>
      <c r="Q165" s="419"/>
      <c r="R165" s="419"/>
      <c r="S165" s="419"/>
    </row>
    <row r="166" spans="1:22" s="31" customFormat="1" x14ac:dyDescent="0.25">
      <c r="B166" s="507" t="s">
        <v>123</v>
      </c>
      <c r="C166" s="387"/>
      <c r="D166" s="387"/>
      <c r="E166" s="387"/>
      <c r="F166" s="387"/>
      <c r="G166" s="388"/>
      <c r="H166" s="376"/>
      <c r="I166" s="507" t="s">
        <v>123</v>
      </c>
      <c r="J166" s="387"/>
      <c r="K166" s="387"/>
      <c r="L166" s="387"/>
      <c r="M166" s="387"/>
      <c r="N166" s="388"/>
      <c r="O166" s="418"/>
      <c r="P166" s="419"/>
      <c r="Q166" s="419"/>
      <c r="R166" s="419"/>
      <c r="S166" s="419"/>
    </row>
    <row r="167" spans="1:22" s="31" customFormat="1" x14ac:dyDescent="0.25">
      <c r="B167" s="507"/>
      <c r="C167" s="387"/>
      <c r="D167" s="387"/>
      <c r="E167" s="387"/>
      <c r="F167" s="387"/>
      <c r="G167" s="388"/>
      <c r="H167" s="376"/>
      <c r="I167" s="507"/>
      <c r="J167" s="387"/>
      <c r="K167" s="387"/>
      <c r="L167" s="387"/>
      <c r="M167" s="387"/>
      <c r="N167" s="388"/>
      <c r="O167" s="418"/>
      <c r="P167" s="419"/>
      <c r="Q167" s="419"/>
      <c r="R167" s="419"/>
      <c r="S167" s="419"/>
      <c r="T167" s="419"/>
      <c r="U167" s="419"/>
      <c r="V167" s="419"/>
    </row>
    <row r="168" spans="1:22" s="31" customFormat="1" x14ac:dyDescent="0.25">
      <c r="B168" s="507"/>
      <c r="C168" s="387"/>
      <c r="D168" s="387"/>
      <c r="E168" s="387"/>
      <c r="F168" s="387"/>
      <c r="G168" s="388"/>
      <c r="H168" s="376"/>
      <c r="I168" s="507"/>
      <c r="J168" s="387"/>
      <c r="K168" s="387"/>
      <c r="L168" s="387"/>
      <c r="M168" s="387"/>
      <c r="N168" s="388"/>
      <c r="O168" s="418"/>
      <c r="P168" s="419"/>
      <c r="Q168" s="419"/>
      <c r="R168" s="419"/>
      <c r="S168" s="419"/>
    </row>
    <row r="169" spans="1:22" s="31" customFormat="1" x14ac:dyDescent="0.25">
      <c r="B169" s="377" t="s">
        <v>29</v>
      </c>
      <c r="C169" s="381" t="str">
        <f t="shared" ref="C169:G169" si="89">IF(ISNUMBER(AVERAGE(C166:C168)),AVERAGE(C166:C168),"")</f>
        <v/>
      </c>
      <c r="D169" s="381" t="str">
        <f t="shared" si="89"/>
        <v/>
      </c>
      <c r="E169" s="381" t="str">
        <f t="shared" si="89"/>
        <v/>
      </c>
      <c r="F169" s="381" t="str">
        <f t="shared" si="89"/>
        <v/>
      </c>
      <c r="G169" s="384" t="str">
        <f t="shared" si="89"/>
        <v/>
      </c>
      <c r="H169" s="376"/>
      <c r="I169" s="377" t="s">
        <v>29</v>
      </c>
      <c r="J169" s="381" t="str">
        <f t="shared" ref="J169:N169" si="90">IF(ISNUMBER(AVERAGE(J166:J168)),AVERAGE(J166:J168),"")</f>
        <v/>
      </c>
      <c r="K169" s="381" t="str">
        <f t="shared" si="90"/>
        <v/>
      </c>
      <c r="L169" s="381" t="str">
        <f t="shared" si="90"/>
        <v/>
      </c>
      <c r="M169" s="381" t="str">
        <f t="shared" si="90"/>
        <v/>
      </c>
      <c r="N169" s="384" t="str">
        <f t="shared" si="90"/>
        <v/>
      </c>
      <c r="O169" s="418"/>
      <c r="P169" s="419"/>
      <c r="Q169" s="419"/>
      <c r="R169" s="419"/>
      <c r="S169" s="419"/>
    </row>
    <row r="170" spans="1:22" s="31" customFormat="1" x14ac:dyDescent="0.25">
      <c r="B170" s="377" t="s">
        <v>155</v>
      </c>
      <c r="C170" s="381" t="str">
        <f>IF(ISNUMBER(C169/$D169),C169/$D169,"")</f>
        <v/>
      </c>
      <c r="D170" s="381" t="str">
        <f t="shared" ref="D170:G170" si="91">IF(ISNUMBER(D169/$D169),D169/$D169,"")</f>
        <v/>
      </c>
      <c r="E170" s="381" t="str">
        <f t="shared" si="91"/>
        <v/>
      </c>
      <c r="F170" s="381" t="str">
        <f t="shared" si="91"/>
        <v/>
      </c>
      <c r="G170" s="384" t="str">
        <f t="shared" si="91"/>
        <v/>
      </c>
      <c r="H170" s="376"/>
      <c r="I170" s="377" t="s">
        <v>155</v>
      </c>
      <c r="J170" s="381" t="str">
        <f t="shared" ref="J170:M170" si="92">IF(ISNUMBER(J169/$K169),J169/$K169,"")</f>
        <v/>
      </c>
      <c r="K170" s="381" t="str">
        <f t="shared" si="92"/>
        <v/>
      </c>
      <c r="L170" s="381" t="str">
        <f t="shared" si="92"/>
        <v/>
      </c>
      <c r="M170" s="381" t="str">
        <f t="shared" si="92"/>
        <v/>
      </c>
      <c r="N170" s="384" t="str">
        <f>IF(ISNUMBER(N169/$K169),N169/$K169,"")</f>
        <v/>
      </c>
      <c r="O170" s="418"/>
      <c r="P170" s="419"/>
      <c r="Q170" s="419"/>
      <c r="R170" s="419"/>
      <c r="S170" s="419"/>
    </row>
    <row r="171" spans="1:22" s="31" customFormat="1" x14ac:dyDescent="0.25">
      <c r="B171" s="377" t="s">
        <v>136</v>
      </c>
      <c r="C171" s="381">
        <v>0.97699999999999998</v>
      </c>
      <c r="D171" s="381">
        <v>0.999</v>
      </c>
      <c r="E171" s="381">
        <v>0.99299999999999999</v>
      </c>
      <c r="F171" s="381">
        <v>0.98899999999999999</v>
      </c>
      <c r="G171" s="384">
        <v>0.97699999999999998</v>
      </c>
      <c r="H171" s="376"/>
      <c r="I171" s="377" t="s">
        <v>136</v>
      </c>
      <c r="J171" s="381">
        <v>1.0009999999999999</v>
      </c>
      <c r="K171" s="381">
        <v>0.999</v>
      </c>
      <c r="L171" s="381">
        <v>0.97799999999999998</v>
      </c>
      <c r="M171" s="381">
        <v>0.97199999999999998</v>
      </c>
      <c r="N171" s="384">
        <v>0.95699999999999996</v>
      </c>
      <c r="O171" s="418"/>
      <c r="P171" s="419"/>
      <c r="Q171" s="419"/>
      <c r="R171" s="419"/>
      <c r="S171" s="419"/>
    </row>
    <row r="172" spans="1:22" s="31" customFormat="1" ht="15.75" thickBot="1" x14ac:dyDescent="0.3">
      <c r="B172" s="379" t="s">
        <v>86</v>
      </c>
      <c r="C172" s="393" t="str">
        <f t="shared" ref="C172:G172" si="93">IF(ISNUMBER((C171-C170)/C171*100),(C171-C170)/C171*100,"")</f>
        <v/>
      </c>
      <c r="D172" s="393" t="str">
        <f t="shared" si="93"/>
        <v/>
      </c>
      <c r="E172" s="393" t="str">
        <f t="shared" si="93"/>
        <v/>
      </c>
      <c r="F172" s="393" t="str">
        <f t="shared" si="93"/>
        <v/>
      </c>
      <c r="G172" s="394" t="str">
        <f t="shared" si="93"/>
        <v/>
      </c>
      <c r="H172" s="376"/>
      <c r="I172" s="379" t="s">
        <v>86</v>
      </c>
      <c r="J172" s="393" t="str">
        <f t="shared" ref="J172" si="94">IF(ISNUMBER((J171-J170)/J171*100),(J171-J170)/J171*100,"")</f>
        <v/>
      </c>
      <c r="K172" s="393" t="str">
        <f t="shared" ref="K172" si="95">IF(ISNUMBER((K171-K170)/K171*100),(K171-K170)/K171*100,"")</f>
        <v/>
      </c>
      <c r="L172" s="393" t="str">
        <f t="shared" ref="L172" si="96">IF(ISNUMBER((L171-L170)/L171*100),(L171-L170)/L171*100,"")</f>
        <v/>
      </c>
      <c r="M172" s="393" t="str">
        <f t="shared" ref="M172" si="97">IF(ISNUMBER((M171-M170)/M171*100),(M171-M170)/M171*100,"")</f>
        <v/>
      </c>
      <c r="N172" s="394" t="str">
        <f t="shared" ref="N172" si="98">IF(ISNUMBER((N171-N170)/N171*100),(N171-N170)/N171*100,"")</f>
        <v/>
      </c>
      <c r="O172" s="418"/>
      <c r="P172" s="419"/>
      <c r="Q172" s="419"/>
      <c r="R172" s="419"/>
      <c r="S172" s="419"/>
    </row>
    <row r="173" spans="1:22" x14ac:dyDescent="0.25">
      <c r="A173" s="4"/>
      <c r="B173" s="111"/>
      <c r="C173" s="78"/>
      <c r="D173" s="78"/>
      <c r="E173" s="78"/>
      <c r="F173" s="78"/>
      <c r="G173" s="78"/>
      <c r="H173" s="89"/>
      <c r="I173" s="111"/>
      <c r="J173" s="113"/>
      <c r="K173" s="113"/>
      <c r="L173" s="113"/>
      <c r="M173" s="113"/>
      <c r="N173" s="113"/>
      <c r="O173" s="79"/>
      <c r="P173" s="78"/>
      <c r="Q173" s="78"/>
      <c r="R173" s="78"/>
      <c r="S173" s="78"/>
    </row>
    <row r="174" spans="1:22" ht="18.75" x14ac:dyDescent="0.3">
      <c r="A174" s="364" t="s">
        <v>427</v>
      </c>
    </row>
    <row r="175" spans="1:22" s="31" customFormat="1" x14ac:dyDescent="0.25">
      <c r="A175" s="31" t="s">
        <v>77</v>
      </c>
      <c r="B175" s="31" t="s">
        <v>425</v>
      </c>
      <c r="D175" s="18"/>
    </row>
    <row r="176" spans="1:22" s="31" customFormat="1" ht="15.75" thickBot="1" x14ac:dyDescent="0.3">
      <c r="A176" s="31" t="s">
        <v>75</v>
      </c>
      <c r="B176" s="31" t="s">
        <v>426</v>
      </c>
      <c r="C176" s="427"/>
      <c r="D176" s="427"/>
      <c r="E176" s="427"/>
      <c r="F176" s="427"/>
      <c r="G176" s="427"/>
      <c r="H176" s="427"/>
      <c r="I176" s="427"/>
      <c r="J176" s="427"/>
      <c r="K176" s="427"/>
      <c r="L176" s="427"/>
      <c r="M176" s="427"/>
      <c r="N176" s="427"/>
      <c r="O176" s="427"/>
      <c r="P176" s="427"/>
      <c r="Q176" s="427"/>
    </row>
    <row r="177" spans="1:17" ht="16.5" customHeight="1" x14ac:dyDescent="0.3">
      <c r="B177" s="32"/>
      <c r="C177" s="508" t="s">
        <v>28</v>
      </c>
      <c r="D177" s="509"/>
      <c r="E177" s="510"/>
      <c r="F177" s="511" t="s">
        <v>31</v>
      </c>
      <c r="G177" s="509"/>
      <c r="H177" s="512"/>
      <c r="I177" s="508" t="s">
        <v>32</v>
      </c>
      <c r="J177" s="509"/>
      <c r="K177" s="510"/>
      <c r="L177" s="511" t="s">
        <v>162</v>
      </c>
      <c r="M177" s="509"/>
      <c r="N177" s="512"/>
      <c r="O177" s="508" t="s">
        <v>33</v>
      </c>
      <c r="P177" s="509"/>
      <c r="Q177" s="510"/>
    </row>
    <row r="178" spans="1:17" s="31" customFormat="1" ht="30" x14ac:dyDescent="0.25">
      <c r="B178" s="627" t="s">
        <v>65</v>
      </c>
      <c r="C178" s="621" t="s">
        <v>66</v>
      </c>
      <c r="D178" s="423" t="s">
        <v>69</v>
      </c>
      <c r="E178" s="424" t="s">
        <v>70</v>
      </c>
      <c r="F178" s="624" t="s">
        <v>66</v>
      </c>
      <c r="G178" s="423" t="s">
        <v>69</v>
      </c>
      <c r="H178" s="426" t="s">
        <v>70</v>
      </c>
      <c r="I178" s="621" t="s">
        <v>66</v>
      </c>
      <c r="J178" s="423" t="s">
        <v>69</v>
      </c>
      <c r="K178" s="424" t="s">
        <v>70</v>
      </c>
      <c r="L178" s="624" t="s">
        <v>66</v>
      </c>
      <c r="M178" s="423" t="s">
        <v>69</v>
      </c>
      <c r="N178" s="426" t="s">
        <v>70</v>
      </c>
      <c r="O178" s="621" t="s">
        <v>66</v>
      </c>
      <c r="P178" s="423" t="s">
        <v>69</v>
      </c>
      <c r="Q178" s="424" t="s">
        <v>70</v>
      </c>
    </row>
    <row r="179" spans="1:17" s="31" customFormat="1" x14ac:dyDescent="0.25">
      <c r="B179" s="627">
        <v>2</v>
      </c>
      <c r="C179" s="622">
        <v>0.28000000000000003</v>
      </c>
      <c r="D179" s="423">
        <f t="shared" ref="D179" si="99">IF(C179="","",C179/B179)</f>
        <v>0.14000000000000001</v>
      </c>
      <c r="E179" s="629">
        <f>IF(OR(D179="",$D$182=""),"",ABS(D179-$D$182)/$D$182*100)</f>
        <v>0.21474588403721881</v>
      </c>
      <c r="F179" s="625">
        <f>AVERAGE(0.262,0.265)</f>
        <v>0.26350000000000001</v>
      </c>
      <c r="G179" s="423">
        <f t="shared" ref="G179" si="100">IF(F179="","",F179/B179)</f>
        <v>0.13175000000000001</v>
      </c>
      <c r="H179" s="629">
        <f>IF(OR(G179="",$G$182=""),"",ABS(G179-$G$182)/$G$182*100)</f>
        <v>2.6090342679127883</v>
      </c>
      <c r="I179" s="622">
        <v>0.30499999999999999</v>
      </c>
      <c r="J179" s="423">
        <f t="shared" ref="J179" si="101">IF(I179="","",I179/B179)</f>
        <v>0.1525</v>
      </c>
      <c r="K179" s="629">
        <f>IF(OR(J179="",$J$182=""),"",ABS(J179-$J$182)/$J$182*100)</f>
        <v>0.85978835978835677</v>
      </c>
      <c r="L179" s="625">
        <v>0.27700000000000002</v>
      </c>
      <c r="M179" s="423">
        <f t="shared" ref="M179" si="102">IF(L179="","",L179/B179)</f>
        <v>0.13850000000000001</v>
      </c>
      <c r="N179" s="629">
        <f>IF(OR(M179="",$M$182=""),"",ABS(M179-$M$182)/$M$182*100)</f>
        <v>7.22543352601277E-2</v>
      </c>
      <c r="O179" s="622">
        <v>0.32800000000000001</v>
      </c>
      <c r="P179" s="423">
        <f t="shared" ref="P179" si="103">IF(O179="","",O179/B179)</f>
        <v>0.16400000000000001</v>
      </c>
      <c r="Q179" s="629">
        <f>IF(OR(P179="",$P$182=""),"",ABS(P179-$P$182)/$P$182*100)</f>
        <v>1.3597033374536511</v>
      </c>
    </row>
    <row r="180" spans="1:17" s="31" customFormat="1" x14ac:dyDescent="0.25">
      <c r="B180" s="627">
        <v>5</v>
      </c>
      <c r="C180" s="622">
        <v>0.69899999999999995</v>
      </c>
      <c r="D180" s="423">
        <f t="shared" ref="D180:D183" si="104">IF(C180="","",C180/B180)</f>
        <v>0.13979999999999998</v>
      </c>
      <c r="E180" s="629">
        <f>IF(OR(D180="",$D$182=""),"",ABS(D180-$D$182)/$D$182*100)</f>
        <v>7.158196134571311E-2</v>
      </c>
      <c r="F180" s="625">
        <v>0.64</v>
      </c>
      <c r="G180" s="423">
        <f t="shared" ref="G180:G183" si="105">IF(F180="","",F180/B180)</f>
        <v>0.128</v>
      </c>
      <c r="H180" s="629">
        <f>IF(OR(G180="",$G$182=""),"",ABS(G180-$G$182)/$G$182*100)</f>
        <v>0.31152647975076614</v>
      </c>
      <c r="I180" s="622">
        <v>0.75600000000000001</v>
      </c>
      <c r="J180" s="423">
        <f t="shared" ref="J180:J183" si="106">IF(I180="","",I180/B180)</f>
        <v>0.1512</v>
      </c>
      <c r="K180" s="629">
        <f>IF(OR(J180="",$J$182=""),"",ABS(J180-$J$182)/$J$182*100)</f>
        <v>0</v>
      </c>
      <c r="L180" s="625">
        <v>0.69499999999999995</v>
      </c>
      <c r="M180" s="423">
        <f t="shared" ref="M180:M183" si="107">IF(L180="","",L180/B180)</f>
        <v>0.13899999999999998</v>
      </c>
      <c r="N180" s="629">
        <f>IF(OR(M180="",$M$182=""),"",ABS(M180-$M$182)/$M$182*100)</f>
        <v>0.43352601156068604</v>
      </c>
      <c r="O180" s="622">
        <v>0.81399999999999995</v>
      </c>
      <c r="P180" s="423">
        <f t="shared" ref="P180:P181" si="108">IF(O180="","",O180/B180)</f>
        <v>0.1628</v>
      </c>
      <c r="Q180" s="629">
        <f>IF(OR(P180="",$P$182=""),"",ABS(P180-$P$182)/$P$182*100)</f>
        <v>0.61804697156983979</v>
      </c>
    </row>
    <row r="181" spans="1:17" s="31" customFormat="1" x14ac:dyDescent="0.25">
      <c r="B181" s="627">
        <v>50</v>
      </c>
      <c r="C181" s="622">
        <v>6.9580000000000002</v>
      </c>
      <c r="D181" s="423">
        <f t="shared" si="104"/>
        <v>0.13916000000000001</v>
      </c>
      <c r="E181" s="629">
        <f>IF(OR(D181="",$D$182=""),"",ABS(D181-$D$182)/$D$182*100)</f>
        <v>0.38654259126700974</v>
      </c>
      <c r="F181" s="625">
        <v>6.4130000000000003</v>
      </c>
      <c r="G181" s="423">
        <f t="shared" si="105"/>
        <v>0.12826000000000001</v>
      </c>
      <c r="H181" s="629">
        <f>IF(OR(G181="",$G$182=""),"",ABS(G181-$G$182)/$G$182*100)</f>
        <v>0.10903426791275195</v>
      </c>
      <c r="I181" s="622">
        <v>7.5549999999999997</v>
      </c>
      <c r="J181" s="423">
        <f t="shared" si="106"/>
        <v>0.15109999999999998</v>
      </c>
      <c r="K181" s="629">
        <f>IF(OR(J181="",$J$182=""),"",ABS(J181-$J$182)/$J$182*100)</f>
        <v>6.6137566137577208E-2</v>
      </c>
      <c r="L181" s="625">
        <v>6.9189999999999996</v>
      </c>
      <c r="M181" s="423">
        <f t="shared" si="107"/>
        <v>0.13838</v>
      </c>
      <c r="N181" s="629">
        <f>IF(OR(M181="",$M$182=""),"",ABS(M181-$M$182)/$M$182*100)</f>
        <v>1.445086705201752E-2</v>
      </c>
      <c r="O181" s="622">
        <v>8.0960000000000001</v>
      </c>
      <c r="P181" s="423">
        <f t="shared" si="108"/>
        <v>0.16192000000000001</v>
      </c>
      <c r="Q181" s="629">
        <f>IF(OR(P181="",$P$182=""),"",ABS(P181-$P$182)/$P$182*100)</f>
        <v>7.4165636588386277E-2</v>
      </c>
    </row>
    <row r="182" spans="1:17" s="31" customFormat="1" x14ac:dyDescent="0.25">
      <c r="B182" s="627">
        <v>100</v>
      </c>
      <c r="C182" s="622">
        <v>13.97</v>
      </c>
      <c r="D182" s="423">
        <f t="shared" si="104"/>
        <v>0.13970000000000002</v>
      </c>
      <c r="E182" s="629">
        <f>IF(OR(D182="",$D$182=""),"",ABS(D182-$D$182)/$D$182*100)</f>
        <v>0</v>
      </c>
      <c r="F182" s="625">
        <v>12.84</v>
      </c>
      <c r="G182" s="423">
        <f t="shared" si="105"/>
        <v>0.12839999999999999</v>
      </c>
      <c r="H182" s="629">
        <f>IF(OR(G182="",$G$182=""),"",ABS(G182-$G$182)/$G$182*100)</f>
        <v>0</v>
      </c>
      <c r="I182" s="622">
        <v>15.12</v>
      </c>
      <c r="J182" s="423">
        <f t="shared" si="106"/>
        <v>0.1512</v>
      </c>
      <c r="K182" s="629">
        <f>IF(OR(J182="",$J$182=""),"",ABS(J182-$J$182)/$J$182*100)</f>
        <v>0</v>
      </c>
      <c r="L182" s="625">
        <v>13.84</v>
      </c>
      <c r="M182" s="423">
        <f t="shared" si="107"/>
        <v>0.1384</v>
      </c>
      <c r="N182" s="629">
        <f>IF(OR(M182="",$M$182=""),"",ABS(M182-$M$182)/$M$182*100)</f>
        <v>0</v>
      </c>
      <c r="O182" s="622">
        <v>16.18</v>
      </c>
      <c r="P182" s="423">
        <f>IF(O182="","",O182/B182)</f>
        <v>0.1618</v>
      </c>
      <c r="Q182" s="629">
        <f>IF(OR(P182="",$P$182=""),"",ABS(P182-$P$182)/$P$182*100)</f>
        <v>0</v>
      </c>
    </row>
    <row r="183" spans="1:17" s="31" customFormat="1" ht="15.75" thickBot="1" x14ac:dyDescent="0.3">
      <c r="B183" s="628">
        <v>500</v>
      </c>
      <c r="C183" s="623">
        <v>69.61</v>
      </c>
      <c r="D183" s="439">
        <f t="shared" si="104"/>
        <v>0.13922000000000001</v>
      </c>
      <c r="E183" s="394">
        <f>IF(OR(D183="",$D$182=""),"",ABS(D183-$D$182)/$D$182*100)</f>
        <v>0.34359341445956199</v>
      </c>
      <c r="F183" s="626">
        <v>64.13</v>
      </c>
      <c r="G183" s="439">
        <f t="shared" si="105"/>
        <v>0.12825999999999999</v>
      </c>
      <c r="H183" s="394">
        <f>IF(OR(G183="",$G$182=""),"",ABS(G183-$G$182)/$G$182*100)</f>
        <v>0.10903426791277356</v>
      </c>
      <c r="I183" s="623">
        <v>75.52</v>
      </c>
      <c r="J183" s="439">
        <f t="shared" si="106"/>
        <v>0.15103999999999998</v>
      </c>
      <c r="K183" s="394">
        <f>IF(OR(J183="",$J$182=""),"",ABS(J183-$J$182)/$J$182*100)</f>
        <v>0.10582010582011986</v>
      </c>
      <c r="L183" s="626">
        <v>69.099999999999994</v>
      </c>
      <c r="M183" s="439">
        <f t="shared" si="107"/>
        <v>0.13819999999999999</v>
      </c>
      <c r="N183" s="394">
        <f>IF(OR(M183="",$M$182=""),"",ABS(M183-$M$182)/$M$182*100)</f>
        <v>0.14450867052023536</v>
      </c>
      <c r="O183" s="623">
        <v>80.97</v>
      </c>
      <c r="P183" s="439">
        <f t="shared" ref="P183" si="109">IF(O183="","",O183/B183)</f>
        <v>0.16194</v>
      </c>
      <c r="Q183" s="394">
        <f t="shared" ref="Q183" si="110">IF(OR(P183="",$P$182=""),"",ABS(P183-$P$182)/$P$182*100)</f>
        <v>8.652657601977827E-2</v>
      </c>
    </row>
    <row r="185" spans="1:17" ht="18.75" x14ac:dyDescent="0.3">
      <c r="A185" s="364" t="s">
        <v>380</v>
      </c>
    </row>
    <row r="186" spans="1:17" s="31" customFormat="1" x14ac:dyDescent="0.25">
      <c r="A186" s="31" t="s">
        <v>75</v>
      </c>
      <c r="B186" s="31" t="s">
        <v>74</v>
      </c>
    </row>
    <row r="187" spans="1:17" ht="15.75" thickBot="1" x14ac:dyDescent="0.3">
      <c r="C187" s="365"/>
      <c r="D187" s="365"/>
      <c r="E187" s="365"/>
      <c r="F187" s="365"/>
      <c r="G187" s="365"/>
      <c r="H187" s="365"/>
      <c r="I187" s="365"/>
      <c r="J187" s="365"/>
      <c r="K187" s="365"/>
      <c r="L187" s="365"/>
      <c r="M187" s="365"/>
      <c r="N187" s="365"/>
      <c r="O187" s="365"/>
      <c r="P187" s="365"/>
      <c r="Q187" s="365"/>
    </row>
    <row r="188" spans="1:17" ht="18.75" x14ac:dyDescent="0.3">
      <c r="B188" s="648"/>
      <c r="C188" s="508" t="s">
        <v>67</v>
      </c>
      <c r="D188" s="509"/>
      <c r="E188" s="510"/>
      <c r="F188" s="508" t="s">
        <v>68</v>
      </c>
      <c r="G188" s="509"/>
      <c r="H188" s="510"/>
      <c r="I188" s="511" t="s">
        <v>168</v>
      </c>
      <c r="J188" s="509"/>
      <c r="K188" s="512"/>
      <c r="L188" s="508" t="s">
        <v>169</v>
      </c>
      <c r="M188" s="509"/>
      <c r="N188" s="510"/>
      <c r="O188" s="511" t="s">
        <v>170</v>
      </c>
      <c r="P188" s="509"/>
      <c r="Q188" s="510"/>
    </row>
    <row r="189" spans="1:17" s="31" customFormat="1" ht="30" x14ac:dyDescent="0.25">
      <c r="B189" s="421" t="s">
        <v>65</v>
      </c>
      <c r="C189" s="422" t="s">
        <v>66</v>
      </c>
      <c r="D189" s="423" t="s">
        <v>69</v>
      </c>
      <c r="E189" s="424" t="s">
        <v>70</v>
      </c>
      <c r="F189" s="422" t="s">
        <v>66</v>
      </c>
      <c r="G189" s="423" t="s">
        <v>69</v>
      </c>
      <c r="H189" s="424" t="s">
        <v>70</v>
      </c>
      <c r="I189" s="425" t="s">
        <v>66</v>
      </c>
      <c r="J189" s="423" t="s">
        <v>69</v>
      </c>
      <c r="K189" s="426" t="s">
        <v>70</v>
      </c>
      <c r="L189" s="422" t="s">
        <v>66</v>
      </c>
      <c r="M189" s="423" t="s">
        <v>69</v>
      </c>
      <c r="N189" s="424" t="s">
        <v>70</v>
      </c>
      <c r="O189" s="425" t="s">
        <v>66</v>
      </c>
      <c r="P189" s="423" t="s">
        <v>69</v>
      </c>
      <c r="Q189" s="424" t="s">
        <v>70</v>
      </c>
    </row>
    <row r="190" spans="1:17" s="31" customFormat="1" x14ac:dyDescent="0.25">
      <c r="B190" s="440">
        <v>5</v>
      </c>
      <c r="C190" s="639">
        <v>0.98299999999999998</v>
      </c>
      <c r="D190" s="646">
        <f>IF(C190="","",C190/B190)</f>
        <v>0.1966</v>
      </c>
      <c r="E190" s="629">
        <f>IF(OR(D190="",$D$192=""),"",ABS(D190-$D$192)/$D$192*100)</f>
        <v>0.51124744376278164</v>
      </c>
      <c r="F190" s="639">
        <f>AVERAGE(0.991,1)</f>
        <v>0.99550000000000005</v>
      </c>
      <c r="G190" s="646">
        <f>IF(F190="","",F190/B190)</f>
        <v>0.1991</v>
      </c>
      <c r="H190" s="629">
        <f>IF(OR(G190="",$G$192=""),"",ABS(G190-$G$192)/$G$192*100)</f>
        <v>0.9123162696401399</v>
      </c>
      <c r="I190" s="641">
        <v>1</v>
      </c>
      <c r="J190" s="646">
        <f>IF(I190="","",I190/B190)</f>
        <v>0.2</v>
      </c>
      <c r="K190" s="629">
        <f>IF(OR(J190="",$J$192=""),"",ABS(J190-$J$192)/$J$192*100)</f>
        <v>0.30090270812436781</v>
      </c>
      <c r="L190" s="639">
        <f>AVERAGE(1.011,1.022)</f>
        <v>1.0165</v>
      </c>
      <c r="M190" s="646">
        <f>IF(L190="","",L190/B190)</f>
        <v>0.20329999999999998</v>
      </c>
      <c r="N190" s="629">
        <f>IF(OR(M190="",$M$192=""),"",ABS(M190-$M$192)/$M$192*100)</f>
        <v>0.79325731284083412</v>
      </c>
      <c r="O190" s="641">
        <v>1.038</v>
      </c>
      <c r="P190" s="646">
        <f>IF(O190="","",O190/B190)</f>
        <v>0.20760000000000001</v>
      </c>
      <c r="Q190" s="629">
        <f>IF(OR(P190="",$P$192=""),"",ABS(P190-$P$192)/$P$192*100)</f>
        <v>0.72780203784570652</v>
      </c>
    </row>
    <row r="191" spans="1:17" s="31" customFormat="1" x14ac:dyDescent="0.25">
      <c r="B191" s="440">
        <v>50</v>
      </c>
      <c r="C191" s="639">
        <f>C228</f>
        <v>9.7880000000000003</v>
      </c>
      <c r="D191" s="646">
        <f t="shared" ref="D191:D193" si="111">IF(C191="","",C191/B191)</f>
        <v>0.19576000000000002</v>
      </c>
      <c r="E191" s="629">
        <f>IF(OR(D191="",$D$192=""),"",ABS(D191-$D$192)/$D$192*100)</f>
        <v>8.1799591002055846E-2</v>
      </c>
      <c r="F191" s="639">
        <f>E228</f>
        <v>9.8480000000000008</v>
      </c>
      <c r="G191" s="646">
        <f t="shared" ref="G191:G193" si="112">IF(F191="","",F191/B191)</f>
        <v>0.19696000000000002</v>
      </c>
      <c r="H191" s="629">
        <f>IF(OR(G191="",$G$192=""),"",ABS(G191-$G$192)/$G$192*100)</f>
        <v>0.17232640648757183</v>
      </c>
      <c r="I191" s="641">
        <f>G228</f>
        <v>9.9499999999999993</v>
      </c>
      <c r="J191" s="646">
        <f t="shared" ref="J191:J193" si="113">IF(I191="","",I191/B191)</f>
        <v>0.19899999999999998</v>
      </c>
      <c r="K191" s="629">
        <f>IF(OR(J191="",$J$192=""),"",ABS(J191-$J$192)/$J$192*100)</f>
        <v>0.2006018054162684</v>
      </c>
      <c r="L191" s="639">
        <f>I228</f>
        <v>10.09</v>
      </c>
      <c r="M191" s="646">
        <f t="shared" ref="M191:M193" si="114">IF(L191="","",L191/B191)</f>
        <v>0.20180000000000001</v>
      </c>
      <c r="N191" s="629">
        <f>IF(OR(M191="",$M$192=""),"",ABS(M191-$M$192)/$M$192*100)</f>
        <v>4.957858205254783E-2</v>
      </c>
      <c r="O191" s="641">
        <f>K228</f>
        <v>10.3</v>
      </c>
      <c r="P191" s="646">
        <f t="shared" ref="P191:P193" si="115">IF(O191="","",O191/B191)</f>
        <v>0.20600000000000002</v>
      </c>
      <c r="Q191" s="629">
        <f>IF(OR(P191="",$P$192=""),"",ABS(P191-$P$192)/$P$192*100)</f>
        <v>4.8520135856375053E-2</v>
      </c>
    </row>
    <row r="192" spans="1:17" s="31" customFormat="1" x14ac:dyDescent="0.25">
      <c r="B192" s="440">
        <v>100</v>
      </c>
      <c r="C192" s="639">
        <v>19.559999999999999</v>
      </c>
      <c r="D192" s="646">
        <f t="shared" si="111"/>
        <v>0.1956</v>
      </c>
      <c r="E192" s="629">
        <f>IF(OR(D192="",$D$192=""),"",ABS(D192-$D$192)/$D$192*100)</f>
        <v>0</v>
      </c>
      <c r="F192" s="639">
        <v>19.73</v>
      </c>
      <c r="G192" s="646">
        <f t="shared" si="112"/>
        <v>0.1973</v>
      </c>
      <c r="H192" s="629">
        <f>IF(OR(G192="",$G$192=""),"",ABS(G192-$G$192)/$G$192*100)</f>
        <v>0</v>
      </c>
      <c r="I192" s="641">
        <v>19.940000000000001</v>
      </c>
      <c r="J192" s="646">
        <f t="shared" si="113"/>
        <v>0.19940000000000002</v>
      </c>
      <c r="K192" s="629">
        <f>IF(OR(J192="",$J$192=""),"",ABS(J192-$J$192)/$J$192*100)</f>
        <v>0</v>
      </c>
      <c r="L192" s="639">
        <v>20.170000000000002</v>
      </c>
      <c r="M192" s="646">
        <f t="shared" si="114"/>
        <v>0.20170000000000002</v>
      </c>
      <c r="N192" s="629">
        <f>IF(OR(M192="",$M$192=""),"",ABS(M192-$M$192)/$M$192*100)</f>
        <v>0</v>
      </c>
      <c r="O192" s="641">
        <v>20.61</v>
      </c>
      <c r="P192" s="646">
        <f t="shared" si="115"/>
        <v>0.20610000000000001</v>
      </c>
      <c r="Q192" s="629">
        <f>IF(OR(P192="",$P$192=""),"",ABS(P192-$P$192)/$P$192*100)</f>
        <v>0</v>
      </c>
    </row>
    <row r="193" spans="1:17" s="31" customFormat="1" ht="15.75" thickBot="1" x14ac:dyDescent="0.3">
      <c r="B193" s="649">
        <v>500</v>
      </c>
      <c r="C193" s="640">
        <v>97.76</v>
      </c>
      <c r="D193" s="647">
        <f t="shared" si="111"/>
        <v>0.19552</v>
      </c>
      <c r="E193" s="394">
        <f>IF(OR(D193="",$D$192=""),"",ABS(D193-$D$192)/$D$192*100)</f>
        <v>4.0899795501020832E-2</v>
      </c>
      <c r="F193" s="640">
        <v>98.36</v>
      </c>
      <c r="G193" s="647">
        <f t="shared" si="112"/>
        <v>0.19672000000000001</v>
      </c>
      <c r="H193" s="394">
        <f>IF(OR(G193="",$G$192=""),"",ABS(G193-$G$192)/$G$192*100)</f>
        <v>0.29396857577293323</v>
      </c>
      <c r="I193" s="642">
        <v>99.43</v>
      </c>
      <c r="J193" s="647">
        <f t="shared" si="113"/>
        <v>0.19886000000000001</v>
      </c>
      <c r="K193" s="394">
        <f>IF(OR(J193="",$J$192=""),"",ABS(J193-$J$192)/$J$192*100)</f>
        <v>0.27081243731194216</v>
      </c>
      <c r="L193" s="640">
        <v>100.8</v>
      </c>
      <c r="M193" s="647">
        <f t="shared" si="114"/>
        <v>0.2016</v>
      </c>
      <c r="N193" s="394">
        <f>IF(OR(M193="",$M$192=""),"",ABS(M193-$M$192)/$M$192*100)</f>
        <v>4.9578582052561597E-2</v>
      </c>
      <c r="O193" s="642">
        <v>103</v>
      </c>
      <c r="P193" s="647">
        <f t="shared" si="115"/>
        <v>0.20599999999999999</v>
      </c>
      <c r="Q193" s="394">
        <f>IF(OR(P193="",$P$192=""),"",ABS(P193-$P$192)/$P$192*100)</f>
        <v>4.8520135856388515E-2</v>
      </c>
    </row>
    <row r="195" spans="1:17" ht="18.75" x14ac:dyDescent="0.3">
      <c r="A195" s="364" t="s">
        <v>429</v>
      </c>
    </row>
    <row r="196" spans="1:17" s="31" customFormat="1" x14ac:dyDescent="0.25">
      <c r="A196" s="31" t="s">
        <v>165</v>
      </c>
      <c r="B196" s="31" t="s">
        <v>425</v>
      </c>
    </row>
    <row r="197" spans="1:17" s="31" customFormat="1" ht="15.75" thickBot="1" x14ac:dyDescent="0.3">
      <c r="A197" s="31" t="s">
        <v>76</v>
      </c>
      <c r="B197" s="31" t="s">
        <v>426</v>
      </c>
      <c r="C197" s="427"/>
      <c r="D197" s="427"/>
      <c r="E197" s="427"/>
      <c r="F197" s="427"/>
      <c r="G197" s="427"/>
      <c r="H197" s="427"/>
      <c r="I197" s="427"/>
      <c r="J197" s="427"/>
      <c r="K197" s="427"/>
      <c r="L197" s="427"/>
    </row>
    <row r="198" spans="1:17" ht="18.75" x14ac:dyDescent="0.3">
      <c r="B198" s="648"/>
      <c r="C198" s="502" t="s">
        <v>28</v>
      </c>
      <c r="D198" s="503"/>
      <c r="E198" s="502" t="s">
        <v>31</v>
      </c>
      <c r="F198" s="503"/>
      <c r="G198" s="502" t="s">
        <v>32</v>
      </c>
      <c r="H198" s="503"/>
      <c r="I198" s="502" t="s">
        <v>162</v>
      </c>
      <c r="J198" s="503"/>
      <c r="K198" s="502" t="s">
        <v>33</v>
      </c>
      <c r="L198" s="503"/>
    </row>
    <row r="199" spans="1:17" ht="30" x14ac:dyDescent="0.25">
      <c r="B199" s="440" t="s">
        <v>72</v>
      </c>
      <c r="C199" s="422" t="s">
        <v>66</v>
      </c>
      <c r="D199" s="424" t="s">
        <v>71</v>
      </c>
      <c r="E199" s="422" t="s">
        <v>66</v>
      </c>
      <c r="F199" s="424" t="s">
        <v>166</v>
      </c>
      <c r="G199" s="422" t="s">
        <v>66</v>
      </c>
      <c r="H199" s="424" t="s">
        <v>71</v>
      </c>
      <c r="I199" s="422" t="s">
        <v>66</v>
      </c>
      <c r="J199" s="424" t="s">
        <v>167</v>
      </c>
      <c r="K199" s="422" t="s">
        <v>66</v>
      </c>
      <c r="L199" s="424" t="s">
        <v>71</v>
      </c>
    </row>
    <row r="200" spans="1:17" x14ac:dyDescent="0.25">
      <c r="B200" s="440">
        <v>100</v>
      </c>
      <c r="C200" s="630">
        <v>6.976</v>
      </c>
      <c r="D200" s="629">
        <f t="shared" ref="D200:D212" si="116">IF(OR(C200="",$C$205=""),"",ABS(C200-$C$205)/$C$205*100)</f>
        <v>0.25869502730669436</v>
      </c>
      <c r="E200" s="631"/>
      <c r="F200" s="629" t="str">
        <f t="shared" ref="F200:F204" si="117">IF(OR(E200="",$E$209=""),"",ABS(E200-$E$209)/$E$209*100)</f>
        <v/>
      </c>
      <c r="G200" s="630">
        <v>7.569</v>
      </c>
      <c r="H200" s="629">
        <f>IF(OR(G200="",$G$205=""),"",ABS(G200-$G$205)/$G$205*100)</f>
        <v>0.1058061103028701</v>
      </c>
      <c r="I200" s="632"/>
      <c r="J200" s="629" t="str">
        <f t="shared" ref="J200:J202" si="118">IF(OR(I200="",$I$205=""),"",ABS(I200-$I$205)/$I$205*100)</f>
        <v/>
      </c>
      <c r="K200" s="630">
        <v>8.0990000000000002</v>
      </c>
      <c r="L200" s="629">
        <f t="shared" ref="L200:L204" si="119">IF(OR(K200="",$K$205=""),"",ABS(K200-$K$205)/$K$205*100)</f>
        <v>0.19794630706420902</v>
      </c>
    </row>
    <row r="201" spans="1:17" x14ac:dyDescent="0.25">
      <c r="B201" s="440">
        <v>200</v>
      </c>
      <c r="C201" s="630">
        <v>6.9669999999999996</v>
      </c>
      <c r="D201" s="629">
        <f t="shared" si="116"/>
        <v>0.1293475136533408</v>
      </c>
      <c r="E201" s="631"/>
      <c r="F201" s="629" t="str">
        <f t="shared" si="117"/>
        <v/>
      </c>
      <c r="G201" s="630">
        <v>7.556</v>
      </c>
      <c r="H201" s="629">
        <f>IF(OR(G201="",$G$205=""),"",ABS(G201-$G$205)/$G$205*100)</f>
        <v>6.612881893929233E-2</v>
      </c>
      <c r="I201" s="632"/>
      <c r="J201" s="629" t="str">
        <f t="shared" si="118"/>
        <v/>
      </c>
      <c r="K201" s="630">
        <v>8.093</v>
      </c>
      <c r="L201" s="629">
        <f t="shared" si="119"/>
        <v>0.12371644191512789</v>
      </c>
    </row>
    <row r="202" spans="1:17" x14ac:dyDescent="0.25">
      <c r="B202" s="440">
        <v>300</v>
      </c>
      <c r="C202" s="630">
        <v>6.9640000000000004</v>
      </c>
      <c r="D202" s="629">
        <f t="shared" si="116"/>
        <v>8.623167576890238E-2</v>
      </c>
      <c r="E202" s="631"/>
      <c r="F202" s="629" t="str">
        <f t="shared" si="117"/>
        <v/>
      </c>
      <c r="G202" s="630">
        <v>7.5549999999999997</v>
      </c>
      <c r="H202" s="629">
        <f>IF(OR(G202="",$G$205=""),"",ABS(G202-$G$205)/$G$205*100)</f>
        <v>7.9354582727155495E-2</v>
      </c>
      <c r="I202" s="632"/>
      <c r="J202" s="629" t="str">
        <f t="shared" si="118"/>
        <v/>
      </c>
      <c r="K202" s="630">
        <v>8.0869999999999997</v>
      </c>
      <c r="L202" s="629">
        <f t="shared" si="119"/>
        <v>4.9486576766046758E-2</v>
      </c>
    </row>
    <row r="203" spans="1:17" x14ac:dyDescent="0.25">
      <c r="B203" s="440">
        <v>400</v>
      </c>
      <c r="C203" s="630">
        <v>6.96</v>
      </c>
      <c r="D203" s="629">
        <f>IF(OR(C203="",$C$205=""),"",ABS(C203-$C$205)/$C$205*100)</f>
        <v>2.8743891922963203E-2</v>
      </c>
      <c r="E203" s="630">
        <v>6.423</v>
      </c>
      <c r="F203" s="629">
        <f t="shared" si="117"/>
        <v>3.114779629340881E-2</v>
      </c>
      <c r="G203" s="630">
        <v>7.556</v>
      </c>
      <c r="H203" s="629">
        <f>IF(OR(G203="",$G$205=""),"",ABS(G203-$G$205)/$G$205*100)</f>
        <v>6.612881893929233E-2</v>
      </c>
      <c r="I203" s="630">
        <v>6.9320000000000004</v>
      </c>
      <c r="J203" s="629">
        <f>IF(OR(I203="",$I$212=""),"",ABS(I203-$I$212)/$I$212*100)</f>
        <v>0.28935185185185858</v>
      </c>
      <c r="K203" s="630">
        <v>8.0939999999999994</v>
      </c>
      <c r="L203" s="629">
        <f t="shared" si="119"/>
        <v>0.13608808610663406</v>
      </c>
    </row>
    <row r="204" spans="1:17" x14ac:dyDescent="0.25">
      <c r="B204" s="440">
        <v>500</v>
      </c>
      <c r="C204" s="630">
        <v>6.9630000000000001</v>
      </c>
      <c r="D204" s="629">
        <f t="shared" si="116"/>
        <v>7.1859729807414383E-2</v>
      </c>
      <c r="E204" s="631"/>
      <c r="F204" s="629" t="str">
        <f t="shared" si="117"/>
        <v/>
      </c>
      <c r="G204" s="630">
        <v>7.5549999999999997</v>
      </c>
      <c r="H204" s="629">
        <f>IF(OR(G204="",$G$205=""),"",ABS(G204-$G$205)/$G$205*100)</f>
        <v>7.9354582727155495E-2</v>
      </c>
      <c r="I204" s="632"/>
      <c r="J204" s="629" t="str">
        <f t="shared" ref="J204:J212" si="120">IF(OR(I204="",$I$212=""),"",ABS(I204-$I$212)/$I$212*100)</f>
        <v/>
      </c>
      <c r="K204" s="630">
        <v>8.0909999999999993</v>
      </c>
      <c r="L204" s="629">
        <f t="shared" si="119"/>
        <v>9.8973153532093516E-2</v>
      </c>
    </row>
    <row r="205" spans="1:17" x14ac:dyDescent="0.25">
      <c r="B205" s="440">
        <v>600</v>
      </c>
      <c r="C205" s="630">
        <v>6.9580000000000002</v>
      </c>
      <c r="D205" s="629">
        <f t="shared" si="116"/>
        <v>0</v>
      </c>
      <c r="E205" s="630">
        <v>6.4169999999999998</v>
      </c>
      <c r="F205" s="629">
        <f>IF(OR(E205="",$E$209=""),"",ABS(E205-$E$209)/$E$209*100)</f>
        <v>6.2295592586831455E-2</v>
      </c>
      <c r="G205" s="630">
        <v>7.5609999999999999</v>
      </c>
      <c r="H205" s="629">
        <f>IF(OR(G205="",$G$205=""),"",ABS(G205-$G$205)/$G$205*100)</f>
        <v>0</v>
      </c>
      <c r="I205" s="632"/>
      <c r="J205" s="629" t="str">
        <f t="shared" si="120"/>
        <v/>
      </c>
      <c r="K205" s="630">
        <v>8.0830000000000002</v>
      </c>
      <c r="L205" s="629">
        <f>IF(OR(K205="",$K$205=""),"",ABS(K205-$K$205)/$K$205*100)</f>
        <v>0</v>
      </c>
    </row>
    <row r="206" spans="1:17" x14ac:dyDescent="0.25">
      <c r="B206" s="440">
        <v>800</v>
      </c>
      <c r="C206" s="631"/>
      <c r="D206" s="629" t="str">
        <f t="shared" si="116"/>
        <v/>
      </c>
      <c r="E206" s="630">
        <v>6.4240000000000004</v>
      </c>
      <c r="F206" s="629">
        <f>IF(OR(E206="",$E$209=""),"",ABS(E206-$E$209)/$E$209*100)</f>
        <v>4.6721694440120129E-2</v>
      </c>
      <c r="G206" s="631"/>
      <c r="H206" s="629" t="str">
        <f>IF(OR(G206="",$G$205=""),"",ABS(G206-$G$205)/$G$205*100)</f>
        <v/>
      </c>
      <c r="I206" s="630">
        <v>6.9249999999999998</v>
      </c>
      <c r="J206" s="629">
        <f t="shared" si="120"/>
        <v>0.18807870370370225</v>
      </c>
      <c r="K206" s="631"/>
      <c r="L206" s="629" t="str">
        <f t="shared" ref="L206:L212" si="121">IF(OR(K206="",$I$205=""),"",ABS(K206-$I$205)/$I$205*100)</f>
        <v/>
      </c>
    </row>
    <row r="207" spans="1:17" x14ac:dyDescent="0.25">
      <c r="B207" s="440">
        <v>1000</v>
      </c>
      <c r="C207" s="631"/>
      <c r="D207" s="629" t="str">
        <f t="shared" si="116"/>
        <v/>
      </c>
      <c r="E207" s="630">
        <v>6.4109999999999996</v>
      </c>
      <c r="F207" s="629">
        <f>IF(OR(E207="",$E$209=""),"",ABS(E207-$E$209)/$E$209*100)</f>
        <v>0.15573898146707171</v>
      </c>
      <c r="G207" s="631"/>
      <c r="H207" s="629" t="str">
        <f>IF(OR(G207="",$G$205=""),"",ABS(G207-$G$205)/$G$205*100)</f>
        <v/>
      </c>
      <c r="I207" s="632"/>
      <c r="J207" s="629" t="str">
        <f t="shared" si="120"/>
        <v/>
      </c>
      <c r="K207" s="631"/>
      <c r="L207" s="629" t="str">
        <f t="shared" si="121"/>
        <v/>
      </c>
    </row>
    <row r="208" spans="1:17" x14ac:dyDescent="0.25">
      <c r="B208" s="440">
        <v>1200</v>
      </c>
      <c r="C208" s="631"/>
      <c r="D208" s="629"/>
      <c r="E208" s="630">
        <v>6.42</v>
      </c>
      <c r="F208" s="629">
        <f>IF(OR(E208="",$E$209=""),"",ABS(E208-$E$209)/$E$209*100)</f>
        <v>1.5573898146711323E-2</v>
      </c>
      <c r="G208" s="631"/>
      <c r="H208" s="629"/>
      <c r="I208" s="630">
        <v>6.91</v>
      </c>
      <c r="J208" s="629">
        <f t="shared" si="120"/>
        <v>2.8935185185182E-2</v>
      </c>
      <c r="K208" s="631"/>
      <c r="L208" s="629"/>
    </row>
    <row r="209" spans="1:12" x14ac:dyDescent="0.25">
      <c r="B209" s="440">
        <v>1400</v>
      </c>
      <c r="C209" s="631"/>
      <c r="D209" s="629" t="str">
        <f t="shared" si="116"/>
        <v/>
      </c>
      <c r="E209" s="630">
        <v>6.4210000000000003</v>
      </c>
      <c r="F209" s="629">
        <f>IF(OR(E209="",$E$209=""),"",ABS(E209-$E$209)/$E$209*100)</f>
        <v>0</v>
      </c>
      <c r="G209" s="631"/>
      <c r="H209" s="629" t="str">
        <f>IF(OR(G209="",$G$205=""),"",ABS(G209-$G$205)/$G$205*100)</f>
        <v/>
      </c>
      <c r="I209" s="632"/>
      <c r="J209" s="629" t="str">
        <f t="shared" si="120"/>
        <v/>
      </c>
      <c r="K209" s="631"/>
      <c r="L209" s="629" t="str">
        <f t="shared" si="121"/>
        <v/>
      </c>
    </row>
    <row r="210" spans="1:12" x14ac:dyDescent="0.25">
      <c r="B210" s="440">
        <v>1600</v>
      </c>
      <c r="C210" s="631"/>
      <c r="D210" s="629"/>
      <c r="E210" s="632"/>
      <c r="F210" s="629"/>
      <c r="G210" s="631"/>
      <c r="H210" s="629"/>
      <c r="I210" s="630">
        <v>6.92</v>
      </c>
      <c r="J210" s="629">
        <f t="shared" si="120"/>
        <v>0.11574074074074084</v>
      </c>
      <c r="K210" s="631"/>
      <c r="L210" s="629"/>
    </row>
    <row r="211" spans="1:12" x14ac:dyDescent="0.25">
      <c r="B211" s="440">
        <v>2000</v>
      </c>
      <c r="C211" s="631"/>
      <c r="D211" s="629"/>
      <c r="E211" s="632"/>
      <c r="F211" s="629"/>
      <c r="G211" s="631"/>
      <c r="H211" s="629"/>
      <c r="I211" s="630">
        <v>6.9109999999999996</v>
      </c>
      <c r="J211" s="629">
        <f t="shared" si="120"/>
        <v>1.4467592592597424E-2</v>
      </c>
      <c r="K211" s="631"/>
      <c r="L211" s="629"/>
    </row>
    <row r="212" spans="1:12" ht="15.75" thickBot="1" x14ac:dyDescent="0.3">
      <c r="B212" s="649">
        <v>2400</v>
      </c>
      <c r="C212" s="633"/>
      <c r="D212" s="394" t="str">
        <f t="shared" si="116"/>
        <v/>
      </c>
      <c r="E212" s="634"/>
      <c r="F212" s="394" t="str">
        <f>IF(OR(E212="",$E$205=""),"",ABS(E212-$E$205)/$E$205*100)</f>
        <v/>
      </c>
      <c r="G212" s="633"/>
      <c r="H212" s="394" t="str">
        <f>IF(OR(G212="",$G$205=""),"",ABS(G212-$G$205)/$G$205*100)</f>
        <v/>
      </c>
      <c r="I212" s="635">
        <v>6.9119999999999999</v>
      </c>
      <c r="J212" s="394">
        <f t="shared" si="120"/>
        <v>0</v>
      </c>
      <c r="K212" s="633"/>
      <c r="L212" s="394" t="str">
        <f t="shared" si="121"/>
        <v/>
      </c>
    </row>
    <row r="214" spans="1:12" ht="18.75" x14ac:dyDescent="0.3">
      <c r="A214" s="364" t="s">
        <v>428</v>
      </c>
    </row>
    <row r="215" spans="1:12" x14ac:dyDescent="0.25">
      <c r="A215" t="s">
        <v>165</v>
      </c>
      <c r="B215" t="s">
        <v>74</v>
      </c>
    </row>
    <row r="216" spans="1:12" ht="15.75" thickBot="1" x14ac:dyDescent="0.3">
      <c r="C216" s="365"/>
      <c r="D216" s="365"/>
      <c r="E216" s="365"/>
      <c r="F216" s="365"/>
      <c r="G216" s="365"/>
      <c r="H216" s="365"/>
      <c r="I216" s="365"/>
      <c r="J216" s="365"/>
      <c r="K216" s="365"/>
      <c r="L216" s="365"/>
    </row>
    <row r="217" spans="1:12" ht="18.75" x14ac:dyDescent="0.3">
      <c r="B217" s="636"/>
      <c r="C217" s="502" t="s">
        <v>67</v>
      </c>
      <c r="D217" s="503"/>
      <c r="E217" s="513" t="s">
        <v>68</v>
      </c>
      <c r="F217" s="514"/>
      <c r="G217" s="502" t="s">
        <v>168</v>
      </c>
      <c r="H217" s="503"/>
      <c r="I217" s="513" t="s">
        <v>169</v>
      </c>
      <c r="J217" s="514"/>
      <c r="K217" s="502" t="s">
        <v>171</v>
      </c>
      <c r="L217" s="503"/>
    </row>
    <row r="218" spans="1:12" ht="30" x14ac:dyDescent="0.25">
      <c r="B218" s="440" t="s">
        <v>72</v>
      </c>
      <c r="C218" s="422" t="s">
        <v>66</v>
      </c>
      <c r="D218" s="424" t="s">
        <v>71</v>
      </c>
      <c r="E218" s="425" t="s">
        <v>66</v>
      </c>
      <c r="F218" s="426" t="s">
        <v>71</v>
      </c>
      <c r="G218" s="422" t="s">
        <v>66</v>
      </c>
      <c r="H218" s="424" t="s">
        <v>71</v>
      </c>
      <c r="I218" s="425" t="s">
        <v>66</v>
      </c>
      <c r="J218" s="426" t="s">
        <v>71</v>
      </c>
      <c r="K218" s="422" t="s">
        <v>66</v>
      </c>
      <c r="L218" s="424" t="s">
        <v>71</v>
      </c>
    </row>
    <row r="219" spans="1:12" x14ac:dyDescent="0.25">
      <c r="B219" s="440">
        <v>100</v>
      </c>
      <c r="C219" s="630">
        <v>9.8010000000000002</v>
      </c>
      <c r="D219" s="629">
        <f t="shared" ref="D219:F228" si="122">IF(OR(C219="",$C$224=""),"",ABS(C219-$C$224)/$C$224*100)</f>
        <v>7.1472329997954581E-2</v>
      </c>
      <c r="E219" s="643">
        <v>9.8580000000000005</v>
      </c>
      <c r="F219" s="629">
        <f t="shared" si="122"/>
        <v>0.65346130283847315</v>
      </c>
      <c r="G219" s="630">
        <v>9.9659999999999993</v>
      </c>
      <c r="H219" s="629">
        <f t="shared" ref="H219:H228" si="123">IF(OR(G219="",$G$224=""),"",ABS(G219-$G$224)/$G$224*100)</f>
        <v>0.15073861923423568</v>
      </c>
      <c r="I219" s="643">
        <v>10.11</v>
      </c>
      <c r="J219" s="629">
        <f t="shared" ref="J219:J228" si="124">IF(OR(I219="",$I$224=""),"",ABS(I219-$I$224)/$I$224*100)</f>
        <v>0.19821605550049132</v>
      </c>
      <c r="K219" s="630">
        <v>10.32</v>
      </c>
      <c r="L219" s="629">
        <f t="shared" ref="L219:L228" si="125">IF(OR(K219="",$K$224=""),"",ABS(K219-$K$224)/$K$224*100)</f>
        <v>0</v>
      </c>
    </row>
    <row r="220" spans="1:12" x14ac:dyDescent="0.25">
      <c r="B220" s="440">
        <v>200</v>
      </c>
      <c r="C220" s="630">
        <v>9.7929999999999993</v>
      </c>
      <c r="D220" s="629">
        <f t="shared" si="122"/>
        <v>1.021033285686361E-2</v>
      </c>
      <c r="E220" s="643">
        <v>9.8490000000000002</v>
      </c>
      <c r="F220" s="629">
        <f t="shared" si="122"/>
        <v>0.56156830712680939</v>
      </c>
      <c r="G220" s="630">
        <v>9.9580000000000002</v>
      </c>
      <c r="H220" s="629">
        <f t="shared" si="123"/>
        <v>7.0344688975979036E-2</v>
      </c>
      <c r="I220" s="643">
        <v>10.09</v>
      </c>
      <c r="J220" s="629">
        <f t="shared" si="124"/>
        <v>0</v>
      </c>
      <c r="K220" s="630">
        <v>10.31</v>
      </c>
      <c r="L220" s="629">
        <f t="shared" si="125"/>
        <v>9.6899224806199474E-2</v>
      </c>
    </row>
    <row r="221" spans="1:12" x14ac:dyDescent="0.25">
      <c r="B221" s="440">
        <v>300</v>
      </c>
      <c r="C221" s="632"/>
      <c r="D221" s="629" t="str">
        <f t="shared" si="122"/>
        <v/>
      </c>
      <c r="E221" s="644"/>
      <c r="F221" s="629" t="str">
        <f t="shared" si="122"/>
        <v/>
      </c>
      <c r="G221" s="632"/>
      <c r="H221" s="629" t="str">
        <f t="shared" si="123"/>
        <v/>
      </c>
      <c r="I221" s="644"/>
      <c r="J221" s="629" t="str">
        <f t="shared" si="124"/>
        <v/>
      </c>
      <c r="K221" s="632"/>
      <c r="L221" s="629" t="str">
        <f t="shared" si="125"/>
        <v/>
      </c>
    </row>
    <row r="222" spans="1:12" x14ac:dyDescent="0.25">
      <c r="B222" s="440">
        <v>400</v>
      </c>
      <c r="C222" s="630">
        <v>9.7859999999999996</v>
      </c>
      <c r="D222" s="629">
        <f t="shared" si="122"/>
        <v>8.1682662854818205E-2</v>
      </c>
      <c r="E222" s="643">
        <v>9.85</v>
      </c>
      <c r="F222" s="629">
        <f t="shared" si="122"/>
        <v>0.57177863998365497</v>
      </c>
      <c r="G222" s="630">
        <v>9.9580000000000002</v>
      </c>
      <c r="H222" s="629">
        <f t="shared" si="123"/>
        <v>7.0344688975979036E-2</v>
      </c>
      <c r="I222" s="643">
        <v>10.08</v>
      </c>
      <c r="J222" s="629">
        <f t="shared" si="124"/>
        <v>9.9108027750245659E-2</v>
      </c>
      <c r="K222" s="630">
        <v>10.3</v>
      </c>
      <c r="L222" s="629">
        <f t="shared" si="125"/>
        <v>0.19379844961239895</v>
      </c>
    </row>
    <row r="223" spans="1:12" x14ac:dyDescent="0.25">
      <c r="B223" s="440">
        <v>500</v>
      </c>
      <c r="C223" s="632"/>
      <c r="D223" s="629" t="str">
        <f t="shared" si="122"/>
        <v/>
      </c>
      <c r="E223" s="644"/>
      <c r="F223" s="629" t="str">
        <f t="shared" si="122"/>
        <v/>
      </c>
      <c r="G223" s="632"/>
      <c r="H223" s="629" t="str">
        <f t="shared" si="123"/>
        <v/>
      </c>
      <c r="I223" s="644"/>
      <c r="J223" s="629" t="str">
        <f t="shared" si="124"/>
        <v/>
      </c>
      <c r="K223" s="632"/>
      <c r="L223" s="629" t="str">
        <f t="shared" si="125"/>
        <v/>
      </c>
    </row>
    <row r="224" spans="1:12" x14ac:dyDescent="0.25">
      <c r="B224" s="440">
        <v>600</v>
      </c>
      <c r="C224" s="630">
        <v>9.7940000000000005</v>
      </c>
      <c r="D224" s="629">
        <f t="shared" si="122"/>
        <v>0</v>
      </c>
      <c r="E224" s="643">
        <v>9.8439999999999994</v>
      </c>
      <c r="F224" s="629">
        <f t="shared" si="122"/>
        <v>0.51051664284254583</v>
      </c>
      <c r="G224" s="630">
        <v>9.9510000000000005</v>
      </c>
      <c r="H224" s="629">
        <f t="shared" si="123"/>
        <v>0</v>
      </c>
      <c r="I224" s="643">
        <v>10.09</v>
      </c>
      <c r="J224" s="629">
        <f t="shared" si="124"/>
        <v>0</v>
      </c>
      <c r="K224" s="630">
        <v>10.32</v>
      </c>
      <c r="L224" s="629">
        <f t="shared" si="125"/>
        <v>0</v>
      </c>
    </row>
    <row r="225" spans="1:52" x14ac:dyDescent="0.25">
      <c r="B225" s="440">
        <v>700</v>
      </c>
      <c r="C225" s="632"/>
      <c r="D225" s="629" t="str">
        <f t="shared" si="122"/>
        <v/>
      </c>
      <c r="E225" s="644"/>
      <c r="F225" s="629" t="str">
        <f t="shared" si="122"/>
        <v/>
      </c>
      <c r="G225" s="632"/>
      <c r="H225" s="629" t="str">
        <f t="shared" si="123"/>
        <v/>
      </c>
      <c r="I225" s="644"/>
      <c r="J225" s="629" t="str">
        <f t="shared" si="124"/>
        <v/>
      </c>
      <c r="K225" s="632"/>
      <c r="L225" s="629" t="str">
        <f t="shared" si="125"/>
        <v/>
      </c>
    </row>
    <row r="226" spans="1:52" x14ac:dyDescent="0.25">
      <c r="B226" s="637">
        <v>800</v>
      </c>
      <c r="C226" s="630">
        <v>9.7829999999999995</v>
      </c>
      <c r="D226" s="629">
        <f t="shared" si="122"/>
        <v>0.11231366142537276</v>
      </c>
      <c r="E226" s="643">
        <v>9.8569999999999993</v>
      </c>
      <c r="F226" s="629">
        <f t="shared" si="122"/>
        <v>0.64325096998160947</v>
      </c>
      <c r="G226" s="630">
        <v>9.9629999999999992</v>
      </c>
      <c r="H226" s="629">
        <f t="shared" si="123"/>
        <v>0.12059089538738496</v>
      </c>
      <c r="I226" s="643">
        <v>10.09</v>
      </c>
      <c r="J226" s="629">
        <f t="shared" si="124"/>
        <v>0</v>
      </c>
      <c r="K226" s="630">
        <v>10.3</v>
      </c>
      <c r="L226" s="629">
        <f t="shared" si="125"/>
        <v>0.19379844961239895</v>
      </c>
    </row>
    <row r="227" spans="1:52" x14ac:dyDescent="0.25">
      <c r="B227" s="637">
        <v>900</v>
      </c>
      <c r="C227" s="632"/>
      <c r="D227" s="629" t="str">
        <f t="shared" si="122"/>
        <v/>
      </c>
      <c r="E227" s="644"/>
      <c r="F227" s="629" t="str">
        <f t="shared" si="122"/>
        <v/>
      </c>
      <c r="G227" s="632"/>
      <c r="H227" s="629" t="str">
        <f t="shared" si="123"/>
        <v/>
      </c>
      <c r="I227" s="644"/>
      <c r="J227" s="629" t="str">
        <f t="shared" si="124"/>
        <v/>
      </c>
      <c r="K227" s="632"/>
      <c r="L227" s="629" t="str">
        <f t="shared" si="125"/>
        <v/>
      </c>
    </row>
    <row r="228" spans="1:52" ht="15.75" thickBot="1" x14ac:dyDescent="0.3">
      <c r="B228" s="638">
        <v>1000</v>
      </c>
      <c r="C228" s="635">
        <v>9.7880000000000003</v>
      </c>
      <c r="D228" s="394">
        <f t="shared" si="122"/>
        <v>6.1261997141109123E-2</v>
      </c>
      <c r="E228" s="645">
        <v>9.8480000000000008</v>
      </c>
      <c r="F228" s="394">
        <f t="shared" si="122"/>
        <v>0.55135797426996391</v>
      </c>
      <c r="G228" s="635">
        <v>9.9499999999999993</v>
      </c>
      <c r="H228" s="394">
        <f t="shared" si="123"/>
        <v>1.0049241282295469E-2</v>
      </c>
      <c r="I228" s="645">
        <v>10.09</v>
      </c>
      <c r="J228" s="394">
        <f t="shared" si="124"/>
        <v>0</v>
      </c>
      <c r="K228" s="635">
        <v>10.3</v>
      </c>
      <c r="L228" s="394">
        <f t="shared" si="125"/>
        <v>0.19379844961239895</v>
      </c>
    </row>
    <row r="230" spans="1:52" ht="18.75" x14ac:dyDescent="0.3">
      <c r="A230" s="364" t="s">
        <v>381</v>
      </c>
    </row>
    <row r="231" spans="1:52" ht="18.75" x14ac:dyDescent="0.3">
      <c r="A231" s="364" t="s">
        <v>382</v>
      </c>
    </row>
    <row r="232" spans="1:52" ht="18.75" x14ac:dyDescent="0.3">
      <c r="A232" s="364" t="s">
        <v>383</v>
      </c>
    </row>
    <row r="233" spans="1:52" x14ac:dyDescent="0.25">
      <c r="A233" s="30"/>
      <c r="Y233" s="33"/>
      <c r="Z233" s="33"/>
      <c r="AA233" s="33"/>
    </row>
    <row r="234" spans="1:52" ht="19.5" thickBot="1" x14ac:dyDescent="0.35">
      <c r="A234" s="30"/>
      <c r="B234" s="448" t="s">
        <v>133</v>
      </c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</row>
    <row r="235" spans="1:52" ht="25.5" customHeight="1" thickBot="1" x14ac:dyDescent="0.3">
      <c r="A235" s="4"/>
      <c r="B235" s="533" t="s">
        <v>110</v>
      </c>
      <c r="C235" s="533"/>
      <c r="D235" s="533"/>
      <c r="E235" s="533"/>
      <c r="F235" s="533"/>
      <c r="G235" s="533"/>
      <c r="H235" s="533"/>
      <c r="I235" s="4"/>
      <c r="J235" s="529" t="s">
        <v>134</v>
      </c>
      <c r="K235" s="529"/>
      <c r="L235" s="529"/>
      <c r="M235" s="529"/>
      <c r="N235" s="529"/>
      <c r="O235" s="529"/>
      <c r="P235" s="529"/>
      <c r="Q235" s="4"/>
      <c r="R235" s="529" t="s">
        <v>99</v>
      </c>
      <c r="S235" s="529"/>
      <c r="T235" s="529"/>
      <c r="U235" s="529"/>
      <c r="V235" s="529"/>
      <c r="W235" s="529"/>
      <c r="X235" s="529"/>
      <c r="Y235" s="34"/>
      <c r="Z235" s="35"/>
      <c r="AA235" s="35"/>
      <c r="AB235" s="538" t="s">
        <v>104</v>
      </c>
      <c r="AC235" s="538"/>
      <c r="AD235" s="534" t="s">
        <v>99</v>
      </c>
      <c r="AE235" s="53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26.25" thickBot="1" x14ac:dyDescent="0.3">
      <c r="A236" s="4"/>
      <c r="B236" s="6" t="s">
        <v>87</v>
      </c>
      <c r="C236" s="6" t="s">
        <v>85</v>
      </c>
      <c r="D236" s="6" t="s">
        <v>88</v>
      </c>
      <c r="E236" s="6" t="s">
        <v>89</v>
      </c>
      <c r="F236" s="6" t="s">
        <v>90</v>
      </c>
      <c r="G236" s="6" t="s">
        <v>91</v>
      </c>
      <c r="H236" s="6" t="s">
        <v>92</v>
      </c>
      <c r="I236" s="5"/>
      <c r="J236" s="6" t="s">
        <v>87</v>
      </c>
      <c r="K236" s="6" t="s">
        <v>85</v>
      </c>
      <c r="L236" s="6" t="s">
        <v>88</v>
      </c>
      <c r="M236" s="6" t="s">
        <v>89</v>
      </c>
      <c r="N236" s="6" t="s">
        <v>90</v>
      </c>
      <c r="O236" s="6" t="s">
        <v>91</v>
      </c>
      <c r="P236" s="6" t="s">
        <v>92</v>
      </c>
      <c r="Q236" s="5"/>
      <c r="R236" s="6" t="s">
        <v>87</v>
      </c>
      <c r="S236" s="6" t="s">
        <v>85</v>
      </c>
      <c r="T236" s="6" t="s">
        <v>88</v>
      </c>
      <c r="U236" s="6" t="s">
        <v>100</v>
      </c>
      <c r="V236" s="6" t="s">
        <v>101</v>
      </c>
      <c r="W236" s="6" t="s">
        <v>102</v>
      </c>
      <c r="X236" s="6" t="s">
        <v>103</v>
      </c>
      <c r="Y236" s="5"/>
      <c r="Z236" s="6" t="s">
        <v>87</v>
      </c>
      <c r="AA236" s="6" t="s">
        <v>85</v>
      </c>
      <c r="AB236" s="6" t="s">
        <v>105</v>
      </c>
      <c r="AC236" s="6" t="s">
        <v>106</v>
      </c>
      <c r="AD236" s="6" t="s">
        <v>105</v>
      </c>
      <c r="AE236" s="6" t="s">
        <v>106</v>
      </c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x14ac:dyDescent="0.25">
      <c r="A237" s="4"/>
      <c r="B237" s="530" t="s">
        <v>93</v>
      </c>
      <c r="C237" s="41" t="s">
        <v>28</v>
      </c>
      <c r="D237" s="460"/>
      <c r="E237" s="460"/>
      <c r="F237" s="460"/>
      <c r="G237" s="460"/>
      <c r="H237" s="461"/>
      <c r="I237" s="5"/>
      <c r="J237" s="530" t="s">
        <v>93</v>
      </c>
      <c r="K237" s="41" t="s">
        <v>28</v>
      </c>
      <c r="L237" s="46" t="e">
        <f>D237/$D237</f>
        <v>#DIV/0!</v>
      </c>
      <c r="M237" s="44" t="e">
        <f t="shared" ref="M237:M256" si="126">E237/D237</f>
        <v>#DIV/0!</v>
      </c>
      <c r="N237" s="44" t="e">
        <f t="shared" ref="N237:N256" si="127">F237/D237</f>
        <v>#DIV/0!</v>
      </c>
      <c r="O237" s="44" t="e">
        <f t="shared" ref="O237:O256" si="128">G237/$D237</f>
        <v>#DIV/0!</v>
      </c>
      <c r="P237" s="45" t="e">
        <f t="shared" ref="P237:P256" si="129">H237/D237</f>
        <v>#DIV/0!</v>
      </c>
      <c r="Q237" s="5"/>
      <c r="R237" s="530" t="s">
        <v>93</v>
      </c>
      <c r="S237" s="41" t="s">
        <v>28</v>
      </c>
      <c r="T237" s="46">
        <v>0</v>
      </c>
      <c r="U237" s="46">
        <v>0</v>
      </c>
      <c r="V237" s="46">
        <v>0</v>
      </c>
      <c r="W237" s="46">
        <v>0</v>
      </c>
      <c r="X237" s="47">
        <v>0</v>
      </c>
      <c r="Y237" s="5"/>
      <c r="Z237" s="530" t="s">
        <v>93</v>
      </c>
      <c r="AA237" s="41" t="s">
        <v>28</v>
      </c>
      <c r="AB237" s="48" t="e">
        <f>M237/O237</f>
        <v>#DIV/0!</v>
      </c>
      <c r="AC237" s="48" t="e">
        <f>N237/P237</f>
        <v>#DIV/0!</v>
      </c>
      <c r="AD237" s="46">
        <v>0</v>
      </c>
      <c r="AE237" s="47">
        <v>0</v>
      </c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x14ac:dyDescent="0.25">
      <c r="A238" s="4"/>
      <c r="B238" s="531"/>
      <c r="C238" s="42" t="s">
        <v>94</v>
      </c>
      <c r="D238" s="462"/>
      <c r="E238" s="462"/>
      <c r="F238" s="462"/>
      <c r="G238" s="462"/>
      <c r="H238" s="463"/>
      <c r="I238" s="5"/>
      <c r="J238" s="531"/>
      <c r="K238" s="42" t="s">
        <v>94</v>
      </c>
      <c r="L238" s="51" t="e">
        <f t="shared" ref="L238:L256" si="130">D238/$D238</f>
        <v>#DIV/0!</v>
      </c>
      <c r="M238" s="49" t="e">
        <f t="shared" si="126"/>
        <v>#DIV/0!</v>
      </c>
      <c r="N238" s="49" t="e">
        <f t="shared" si="127"/>
        <v>#DIV/0!</v>
      </c>
      <c r="O238" s="49" t="e">
        <f t="shared" si="128"/>
        <v>#DIV/0!</v>
      </c>
      <c r="P238" s="50" t="e">
        <f t="shared" si="129"/>
        <v>#DIV/0!</v>
      </c>
      <c r="Q238" s="5"/>
      <c r="R238" s="531"/>
      <c r="S238" s="42" t="s">
        <v>94</v>
      </c>
      <c r="T238" s="51">
        <v>0</v>
      </c>
      <c r="U238" s="51">
        <v>0</v>
      </c>
      <c r="V238" s="51">
        <v>0</v>
      </c>
      <c r="W238" s="51">
        <v>0</v>
      </c>
      <c r="X238" s="52">
        <v>0</v>
      </c>
      <c r="Y238" s="5"/>
      <c r="Z238" s="531"/>
      <c r="AA238" s="42" t="s">
        <v>94</v>
      </c>
      <c r="AB238" s="53" t="e">
        <f t="shared" ref="AB238:AB256" si="131">M238/O238</f>
        <v>#DIV/0!</v>
      </c>
      <c r="AC238" s="53" t="e">
        <f t="shared" ref="AC238:AC256" si="132">N238/P238</f>
        <v>#DIV/0!</v>
      </c>
      <c r="AD238" s="51">
        <v>0</v>
      </c>
      <c r="AE238" s="52">
        <v>0</v>
      </c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x14ac:dyDescent="0.25">
      <c r="A239" s="4"/>
      <c r="B239" s="531"/>
      <c r="C239" s="42" t="s">
        <v>95</v>
      </c>
      <c r="D239" s="462"/>
      <c r="E239" s="462"/>
      <c r="F239" s="462"/>
      <c r="G239" s="462"/>
      <c r="H239" s="463"/>
      <c r="I239" s="5"/>
      <c r="J239" s="531"/>
      <c r="K239" s="42" t="s">
        <v>95</v>
      </c>
      <c r="L239" s="51" t="e">
        <f t="shared" si="130"/>
        <v>#DIV/0!</v>
      </c>
      <c r="M239" s="49" t="e">
        <f t="shared" si="126"/>
        <v>#DIV/0!</v>
      </c>
      <c r="N239" s="49" t="e">
        <f t="shared" si="127"/>
        <v>#DIV/0!</v>
      </c>
      <c r="O239" s="49" t="e">
        <f t="shared" si="128"/>
        <v>#DIV/0!</v>
      </c>
      <c r="P239" s="50" t="e">
        <f t="shared" si="129"/>
        <v>#DIV/0!</v>
      </c>
      <c r="Q239" s="5"/>
      <c r="R239" s="531"/>
      <c r="S239" s="42" t="s">
        <v>95</v>
      </c>
      <c r="T239" s="51">
        <v>0</v>
      </c>
      <c r="U239" s="51">
        <v>0</v>
      </c>
      <c r="V239" s="51">
        <v>0</v>
      </c>
      <c r="W239" s="51">
        <v>0</v>
      </c>
      <c r="X239" s="52">
        <v>0</v>
      </c>
      <c r="Y239" s="5"/>
      <c r="Z239" s="531"/>
      <c r="AA239" s="42" t="s">
        <v>95</v>
      </c>
      <c r="AB239" s="53" t="e">
        <f t="shared" si="131"/>
        <v>#DIV/0!</v>
      </c>
      <c r="AC239" s="53" t="e">
        <f t="shared" si="132"/>
        <v>#DIV/0!</v>
      </c>
      <c r="AD239" s="51">
        <v>0</v>
      </c>
      <c r="AE239" s="52">
        <v>0</v>
      </c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x14ac:dyDescent="0.25">
      <c r="A240" s="4"/>
      <c r="B240" s="531"/>
      <c r="C240" s="117" t="s">
        <v>151</v>
      </c>
      <c r="D240" s="464"/>
      <c r="E240" s="464"/>
      <c r="F240" s="464"/>
      <c r="G240" s="464"/>
      <c r="H240" s="465"/>
      <c r="I240" s="5"/>
      <c r="J240" s="531"/>
      <c r="K240" s="117" t="s">
        <v>151</v>
      </c>
      <c r="L240" s="51" t="e">
        <f t="shared" si="130"/>
        <v>#DIV/0!</v>
      </c>
      <c r="M240" s="49" t="e">
        <f t="shared" ref="M240" si="133">E240/$D240</f>
        <v>#DIV/0!</v>
      </c>
      <c r="N240" s="49" t="e">
        <f t="shared" ref="N240" si="134">F240/$D240</f>
        <v>#DIV/0!</v>
      </c>
      <c r="O240" s="49" t="e">
        <f t="shared" si="128"/>
        <v>#DIV/0!</v>
      </c>
      <c r="P240" s="50" t="e">
        <f t="shared" ref="P240" si="135">H240/$D240</f>
        <v>#DIV/0!</v>
      </c>
      <c r="Q240" s="5"/>
      <c r="R240" s="531"/>
      <c r="S240" s="117" t="s">
        <v>151</v>
      </c>
      <c r="T240" s="51">
        <v>0</v>
      </c>
      <c r="U240" s="51">
        <v>0</v>
      </c>
      <c r="V240" s="51">
        <v>0</v>
      </c>
      <c r="W240" s="51">
        <v>0</v>
      </c>
      <c r="X240" s="52">
        <v>0</v>
      </c>
      <c r="Y240" s="5"/>
      <c r="Z240" s="531"/>
      <c r="AA240" s="117" t="s">
        <v>151</v>
      </c>
      <c r="AB240" s="53" t="e">
        <f t="shared" si="131"/>
        <v>#DIV/0!</v>
      </c>
      <c r="AC240" s="53" t="e">
        <f t="shared" si="132"/>
        <v>#DIV/0!</v>
      </c>
      <c r="AD240" s="51">
        <v>0</v>
      </c>
      <c r="AE240" s="52">
        <v>0</v>
      </c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5.75" thickBot="1" x14ac:dyDescent="0.3">
      <c r="A241" s="4"/>
      <c r="B241" s="532"/>
      <c r="C241" s="54" t="s">
        <v>33</v>
      </c>
      <c r="D241" s="466"/>
      <c r="E241" s="466"/>
      <c r="F241" s="466"/>
      <c r="G241" s="466"/>
      <c r="H241" s="467"/>
      <c r="I241" s="5"/>
      <c r="J241" s="532"/>
      <c r="K241" s="54" t="s">
        <v>33</v>
      </c>
      <c r="L241" s="57" t="e">
        <f t="shared" si="130"/>
        <v>#DIV/0!</v>
      </c>
      <c r="M241" s="55" t="e">
        <f t="shared" si="126"/>
        <v>#DIV/0!</v>
      </c>
      <c r="N241" s="55" t="e">
        <f t="shared" si="127"/>
        <v>#DIV/0!</v>
      </c>
      <c r="O241" s="55" t="e">
        <f t="shared" si="128"/>
        <v>#DIV/0!</v>
      </c>
      <c r="P241" s="56" t="e">
        <f t="shared" si="129"/>
        <v>#DIV/0!</v>
      </c>
      <c r="Q241" s="5"/>
      <c r="R241" s="532"/>
      <c r="S241" s="54" t="s">
        <v>33</v>
      </c>
      <c r="T241" s="57">
        <v>0</v>
      </c>
      <c r="U241" s="57">
        <v>0</v>
      </c>
      <c r="V241" s="57">
        <v>0</v>
      </c>
      <c r="W241" s="57">
        <v>0</v>
      </c>
      <c r="X241" s="58">
        <v>0</v>
      </c>
      <c r="Y241" s="5"/>
      <c r="Z241" s="532"/>
      <c r="AA241" s="54" t="s">
        <v>33</v>
      </c>
      <c r="AB241" s="59" t="e">
        <f t="shared" si="131"/>
        <v>#DIV/0!</v>
      </c>
      <c r="AC241" s="59" t="e">
        <f t="shared" si="132"/>
        <v>#DIV/0!</v>
      </c>
      <c r="AD241" s="57">
        <v>0</v>
      </c>
      <c r="AE241" s="58">
        <v>0</v>
      </c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5.75" customHeight="1" x14ac:dyDescent="0.25">
      <c r="A242" s="4"/>
      <c r="B242" s="530" t="s">
        <v>96</v>
      </c>
      <c r="C242" s="41" t="s">
        <v>28</v>
      </c>
      <c r="D242" s="460"/>
      <c r="E242" s="460"/>
      <c r="F242" s="460"/>
      <c r="G242" s="460"/>
      <c r="H242" s="461"/>
      <c r="I242" s="5"/>
      <c r="J242" s="530" t="s">
        <v>96</v>
      </c>
      <c r="K242" s="41" t="s">
        <v>28</v>
      </c>
      <c r="L242" s="46" t="e">
        <f t="shared" si="130"/>
        <v>#DIV/0!</v>
      </c>
      <c r="M242" s="44" t="e">
        <f t="shared" si="126"/>
        <v>#DIV/0!</v>
      </c>
      <c r="N242" s="44" t="e">
        <f t="shared" si="127"/>
        <v>#DIV/0!</v>
      </c>
      <c r="O242" s="44" t="e">
        <f t="shared" si="128"/>
        <v>#DIV/0!</v>
      </c>
      <c r="P242" s="45" t="e">
        <f t="shared" si="129"/>
        <v>#DIV/0!</v>
      </c>
      <c r="Q242" s="5"/>
      <c r="R242" s="530" t="s">
        <v>96</v>
      </c>
      <c r="S242" s="41" t="s">
        <v>28</v>
      </c>
      <c r="T242" s="102" t="e">
        <f t="shared" ref="T242:X245" si="136">100*(D242-D237)/D237</f>
        <v>#DIV/0!</v>
      </c>
      <c r="U242" s="103" t="e">
        <f t="shared" si="136"/>
        <v>#DIV/0!</v>
      </c>
      <c r="V242" s="103" t="e">
        <f t="shared" si="136"/>
        <v>#DIV/0!</v>
      </c>
      <c r="W242" s="103" t="e">
        <f t="shared" si="136"/>
        <v>#DIV/0!</v>
      </c>
      <c r="X242" s="104" t="e">
        <f t="shared" si="136"/>
        <v>#DIV/0!</v>
      </c>
      <c r="Y242" s="5"/>
      <c r="Z242" s="530" t="s">
        <v>96</v>
      </c>
      <c r="AA242" s="41" t="s">
        <v>28</v>
      </c>
      <c r="AB242" s="48" t="e">
        <f t="shared" si="131"/>
        <v>#DIV/0!</v>
      </c>
      <c r="AC242" s="44" t="e">
        <f t="shared" si="132"/>
        <v>#DIV/0!</v>
      </c>
      <c r="AD242" s="103" t="e">
        <f t="shared" ref="AD242:AE244" si="137">100*(AB242-AB237)/AB237</f>
        <v>#DIV/0!</v>
      </c>
      <c r="AE242" s="104" t="e">
        <f t="shared" si="137"/>
        <v>#DIV/0!</v>
      </c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x14ac:dyDescent="0.25">
      <c r="A243" s="4"/>
      <c r="B243" s="531"/>
      <c r="C243" s="42" t="s">
        <v>94</v>
      </c>
      <c r="D243" s="462"/>
      <c r="E243" s="462"/>
      <c r="F243" s="462"/>
      <c r="G243" s="462"/>
      <c r="H243" s="463"/>
      <c r="I243" s="5"/>
      <c r="J243" s="531"/>
      <c r="K243" s="42" t="s">
        <v>94</v>
      </c>
      <c r="L243" s="51" t="e">
        <f t="shared" si="130"/>
        <v>#DIV/0!</v>
      </c>
      <c r="M243" s="49" t="e">
        <f t="shared" si="126"/>
        <v>#DIV/0!</v>
      </c>
      <c r="N243" s="49" t="e">
        <f t="shared" si="127"/>
        <v>#DIV/0!</v>
      </c>
      <c r="O243" s="49" t="e">
        <f t="shared" si="128"/>
        <v>#DIV/0!</v>
      </c>
      <c r="P243" s="50" t="e">
        <f t="shared" si="129"/>
        <v>#DIV/0!</v>
      </c>
      <c r="Q243" s="5"/>
      <c r="R243" s="531"/>
      <c r="S243" s="42" t="s">
        <v>94</v>
      </c>
      <c r="T243" s="105" t="e">
        <f t="shared" si="136"/>
        <v>#DIV/0!</v>
      </c>
      <c r="U243" s="106" t="e">
        <f t="shared" si="136"/>
        <v>#DIV/0!</v>
      </c>
      <c r="V243" s="106" t="e">
        <f t="shared" si="136"/>
        <v>#DIV/0!</v>
      </c>
      <c r="W243" s="106" t="e">
        <f t="shared" si="136"/>
        <v>#DIV/0!</v>
      </c>
      <c r="X243" s="107" t="e">
        <f t="shared" si="136"/>
        <v>#DIV/0!</v>
      </c>
      <c r="Y243" s="5"/>
      <c r="Z243" s="531"/>
      <c r="AA243" s="42" t="s">
        <v>94</v>
      </c>
      <c r="AB243" s="53" t="e">
        <f t="shared" si="131"/>
        <v>#DIV/0!</v>
      </c>
      <c r="AC243" s="49" t="e">
        <f t="shared" si="132"/>
        <v>#DIV/0!</v>
      </c>
      <c r="AD243" s="106" t="e">
        <f t="shared" si="137"/>
        <v>#DIV/0!</v>
      </c>
      <c r="AE243" s="107" t="e">
        <f t="shared" si="137"/>
        <v>#DIV/0!</v>
      </c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x14ac:dyDescent="0.25">
      <c r="A244" s="4"/>
      <c r="B244" s="531"/>
      <c r="C244" s="42" t="s">
        <v>95</v>
      </c>
      <c r="D244" s="462"/>
      <c r="E244" s="462"/>
      <c r="F244" s="462"/>
      <c r="G244" s="462"/>
      <c r="H244" s="463"/>
      <c r="I244" s="5"/>
      <c r="J244" s="531"/>
      <c r="K244" s="42" t="s">
        <v>95</v>
      </c>
      <c r="L244" s="51" t="e">
        <f t="shared" si="130"/>
        <v>#DIV/0!</v>
      </c>
      <c r="M244" s="49" t="e">
        <f t="shared" si="126"/>
        <v>#DIV/0!</v>
      </c>
      <c r="N244" s="49" t="e">
        <f t="shared" si="127"/>
        <v>#DIV/0!</v>
      </c>
      <c r="O244" s="49" t="e">
        <f t="shared" si="128"/>
        <v>#DIV/0!</v>
      </c>
      <c r="P244" s="50" t="e">
        <f t="shared" si="129"/>
        <v>#DIV/0!</v>
      </c>
      <c r="Q244" s="5"/>
      <c r="R244" s="531"/>
      <c r="S244" s="42" t="s">
        <v>95</v>
      </c>
      <c r="T244" s="105" t="e">
        <f t="shared" si="136"/>
        <v>#DIV/0!</v>
      </c>
      <c r="U244" s="106" t="e">
        <f t="shared" si="136"/>
        <v>#DIV/0!</v>
      </c>
      <c r="V244" s="106" t="e">
        <f t="shared" si="136"/>
        <v>#DIV/0!</v>
      </c>
      <c r="W244" s="106" t="e">
        <f t="shared" si="136"/>
        <v>#DIV/0!</v>
      </c>
      <c r="X244" s="107" t="e">
        <f t="shared" si="136"/>
        <v>#DIV/0!</v>
      </c>
      <c r="Y244" s="5"/>
      <c r="Z244" s="531"/>
      <c r="AA244" s="42" t="s">
        <v>95</v>
      </c>
      <c r="AB244" s="53" t="e">
        <f t="shared" si="131"/>
        <v>#DIV/0!</v>
      </c>
      <c r="AC244" s="49" t="e">
        <f t="shared" si="132"/>
        <v>#DIV/0!</v>
      </c>
      <c r="AD244" s="106" t="e">
        <f t="shared" si="137"/>
        <v>#DIV/0!</v>
      </c>
      <c r="AE244" s="107" t="e">
        <f t="shared" si="137"/>
        <v>#DIV/0!</v>
      </c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x14ac:dyDescent="0.25">
      <c r="A245" s="4"/>
      <c r="B245" s="531"/>
      <c r="C245" s="117" t="s">
        <v>151</v>
      </c>
      <c r="D245" s="464"/>
      <c r="E245" s="464"/>
      <c r="F245" s="464"/>
      <c r="G245" s="464"/>
      <c r="H245" s="465"/>
      <c r="I245" s="5"/>
      <c r="J245" s="531"/>
      <c r="K245" s="117" t="s">
        <v>151</v>
      </c>
      <c r="L245" s="118" t="e">
        <f t="shared" si="130"/>
        <v>#DIV/0!</v>
      </c>
      <c r="M245" s="119" t="e">
        <f t="shared" si="126"/>
        <v>#DIV/0!</v>
      </c>
      <c r="N245" s="119" t="e">
        <f t="shared" si="127"/>
        <v>#DIV/0!</v>
      </c>
      <c r="O245" s="119" t="e">
        <f t="shared" si="128"/>
        <v>#DIV/0!</v>
      </c>
      <c r="P245" s="120" t="e">
        <f t="shared" si="129"/>
        <v>#DIV/0!</v>
      </c>
      <c r="Q245" s="5"/>
      <c r="R245" s="531"/>
      <c r="S245" s="117" t="s">
        <v>151</v>
      </c>
      <c r="T245" s="105" t="e">
        <f t="shared" si="136"/>
        <v>#DIV/0!</v>
      </c>
      <c r="U245" s="105" t="e">
        <f t="shared" ref="U245" si="138">100*(E245-E240)/E240</f>
        <v>#DIV/0!</v>
      </c>
      <c r="V245" s="105" t="e">
        <f t="shared" ref="V245" si="139">100*(F245-F240)/F240</f>
        <v>#DIV/0!</v>
      </c>
      <c r="W245" s="105" t="e">
        <f t="shared" ref="W245" si="140">100*(G245-G240)/G240</f>
        <v>#DIV/0!</v>
      </c>
      <c r="X245" s="122" t="e">
        <f t="shared" ref="X245" si="141">100*(H245-H240)/H240</f>
        <v>#DIV/0!</v>
      </c>
      <c r="Y245" s="5"/>
      <c r="Z245" s="531"/>
      <c r="AA245" s="117" t="s">
        <v>151</v>
      </c>
      <c r="AB245" s="53" t="e">
        <f t="shared" ref="AB245" si="142">M245/O245</f>
        <v>#DIV/0!</v>
      </c>
      <c r="AC245" s="49" t="e">
        <f t="shared" ref="AC245" si="143">N245/P245</f>
        <v>#DIV/0!</v>
      </c>
      <c r="AD245" s="106" t="e">
        <f t="shared" ref="AD245" si="144">100*(AB245-AB240)/AB240</f>
        <v>#DIV/0!</v>
      </c>
      <c r="AE245" s="107" t="e">
        <f t="shared" ref="AE245" si="145">100*(AC245-AC240)/AC240</f>
        <v>#DIV/0!</v>
      </c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5.75" thickBot="1" x14ac:dyDescent="0.3">
      <c r="A246" s="4"/>
      <c r="B246" s="532"/>
      <c r="C246" s="54" t="s">
        <v>33</v>
      </c>
      <c r="D246" s="466"/>
      <c r="E246" s="466"/>
      <c r="F246" s="466"/>
      <c r="G246" s="466"/>
      <c r="H246" s="467"/>
      <c r="I246" s="5"/>
      <c r="J246" s="532"/>
      <c r="K246" s="54" t="s">
        <v>33</v>
      </c>
      <c r="L246" s="57" t="e">
        <f t="shared" si="130"/>
        <v>#DIV/0!</v>
      </c>
      <c r="M246" s="55" t="e">
        <f t="shared" si="126"/>
        <v>#DIV/0!</v>
      </c>
      <c r="N246" s="55" t="e">
        <f t="shared" si="127"/>
        <v>#DIV/0!</v>
      </c>
      <c r="O246" s="55" t="e">
        <f t="shared" si="128"/>
        <v>#DIV/0!</v>
      </c>
      <c r="P246" s="56" t="e">
        <f t="shared" si="129"/>
        <v>#DIV/0!</v>
      </c>
      <c r="Q246" s="5"/>
      <c r="R246" s="532"/>
      <c r="S246" s="54" t="s">
        <v>33</v>
      </c>
      <c r="T246" s="108" t="e">
        <f t="shared" ref="T246:X246" si="146">100*(D246-D241)/D241</f>
        <v>#DIV/0!</v>
      </c>
      <c r="U246" s="109" t="e">
        <f t="shared" si="146"/>
        <v>#DIV/0!</v>
      </c>
      <c r="V246" s="109" t="e">
        <f t="shared" si="146"/>
        <v>#DIV/0!</v>
      </c>
      <c r="W246" s="109" t="e">
        <f t="shared" si="146"/>
        <v>#DIV/0!</v>
      </c>
      <c r="X246" s="110" t="e">
        <f t="shared" si="146"/>
        <v>#DIV/0!</v>
      </c>
      <c r="Y246" s="5"/>
      <c r="Z246" s="532"/>
      <c r="AA246" s="54" t="s">
        <v>33</v>
      </c>
      <c r="AB246" s="59" t="e">
        <f t="shared" si="131"/>
        <v>#DIV/0!</v>
      </c>
      <c r="AC246" s="55" t="e">
        <f t="shared" si="132"/>
        <v>#DIV/0!</v>
      </c>
      <c r="AD246" s="109" t="e">
        <f t="shared" ref="AD246" si="147">100*(AB246-AB241)/AB241</f>
        <v>#DIV/0!</v>
      </c>
      <c r="AE246" s="110" t="e">
        <f t="shared" ref="AE246" si="148">100*(AC246-AC241)/AC241</f>
        <v>#DIV/0!</v>
      </c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5.75" customHeight="1" x14ac:dyDescent="0.25">
      <c r="A247" s="4"/>
      <c r="B247" s="530" t="s">
        <v>97</v>
      </c>
      <c r="C247" s="41" t="s">
        <v>28</v>
      </c>
      <c r="D247" s="460"/>
      <c r="E247" s="460"/>
      <c r="F247" s="460"/>
      <c r="G247" s="460"/>
      <c r="H247" s="461"/>
      <c r="I247" s="5"/>
      <c r="J247" s="530" t="s">
        <v>97</v>
      </c>
      <c r="K247" s="41" t="s">
        <v>28</v>
      </c>
      <c r="L247" s="46" t="e">
        <f t="shared" si="130"/>
        <v>#DIV/0!</v>
      </c>
      <c r="M247" s="44" t="e">
        <f t="shared" si="126"/>
        <v>#DIV/0!</v>
      </c>
      <c r="N247" s="44" t="e">
        <f t="shared" si="127"/>
        <v>#DIV/0!</v>
      </c>
      <c r="O247" s="44" t="e">
        <f t="shared" si="128"/>
        <v>#DIV/0!</v>
      </c>
      <c r="P247" s="45" t="e">
        <f t="shared" si="129"/>
        <v>#DIV/0!</v>
      </c>
      <c r="Q247" s="5"/>
      <c r="R247" s="530" t="s">
        <v>97</v>
      </c>
      <c r="S247" s="41" t="s">
        <v>28</v>
      </c>
      <c r="T247" s="102" t="e">
        <f t="shared" ref="T247:X250" si="149">100*(D247-D237)/D237</f>
        <v>#DIV/0!</v>
      </c>
      <c r="U247" s="103" t="e">
        <f t="shared" si="149"/>
        <v>#DIV/0!</v>
      </c>
      <c r="V247" s="103" t="e">
        <f t="shared" si="149"/>
        <v>#DIV/0!</v>
      </c>
      <c r="W247" s="103" t="e">
        <f t="shared" si="149"/>
        <v>#DIV/0!</v>
      </c>
      <c r="X247" s="104" t="e">
        <f t="shared" si="149"/>
        <v>#DIV/0!</v>
      </c>
      <c r="Y247" s="5"/>
      <c r="Z247" s="530" t="s">
        <v>97</v>
      </c>
      <c r="AA247" s="41" t="s">
        <v>28</v>
      </c>
      <c r="AB247" s="48" t="e">
        <f t="shared" si="131"/>
        <v>#DIV/0!</v>
      </c>
      <c r="AC247" s="44" t="e">
        <f t="shared" si="132"/>
        <v>#DIV/0!</v>
      </c>
      <c r="AD247" s="103" t="e">
        <f t="shared" ref="AD247:AE249" si="150">100*(AB247-AB237)/AB237</f>
        <v>#DIV/0!</v>
      </c>
      <c r="AE247" s="104" t="e">
        <f t="shared" si="150"/>
        <v>#DIV/0!</v>
      </c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x14ac:dyDescent="0.25">
      <c r="A248" s="4"/>
      <c r="B248" s="531"/>
      <c r="C248" s="42" t="s">
        <v>94</v>
      </c>
      <c r="D248" s="462"/>
      <c r="E248" s="462"/>
      <c r="F248" s="462"/>
      <c r="G248" s="462"/>
      <c r="H248" s="463"/>
      <c r="I248" s="5"/>
      <c r="J248" s="531"/>
      <c r="K248" s="42" t="s">
        <v>94</v>
      </c>
      <c r="L248" s="51" t="e">
        <f t="shared" si="130"/>
        <v>#DIV/0!</v>
      </c>
      <c r="M248" s="49" t="e">
        <f t="shared" si="126"/>
        <v>#DIV/0!</v>
      </c>
      <c r="N248" s="49" t="e">
        <f t="shared" si="127"/>
        <v>#DIV/0!</v>
      </c>
      <c r="O248" s="49" t="e">
        <f t="shared" si="128"/>
        <v>#DIV/0!</v>
      </c>
      <c r="P248" s="50" t="e">
        <f t="shared" si="129"/>
        <v>#DIV/0!</v>
      </c>
      <c r="Q248" s="5"/>
      <c r="R248" s="531"/>
      <c r="S248" s="42" t="s">
        <v>94</v>
      </c>
      <c r="T248" s="105" t="e">
        <f t="shared" si="149"/>
        <v>#DIV/0!</v>
      </c>
      <c r="U248" s="106" t="e">
        <f t="shared" si="149"/>
        <v>#DIV/0!</v>
      </c>
      <c r="V248" s="106" t="e">
        <f t="shared" si="149"/>
        <v>#DIV/0!</v>
      </c>
      <c r="W248" s="106" t="e">
        <f t="shared" si="149"/>
        <v>#DIV/0!</v>
      </c>
      <c r="X248" s="107" t="e">
        <f t="shared" si="149"/>
        <v>#DIV/0!</v>
      </c>
      <c r="Y248" s="5"/>
      <c r="Z248" s="531"/>
      <c r="AA248" s="42" t="s">
        <v>94</v>
      </c>
      <c r="AB248" s="53" t="e">
        <f t="shared" si="131"/>
        <v>#DIV/0!</v>
      </c>
      <c r="AC248" s="49" t="e">
        <f t="shared" si="132"/>
        <v>#DIV/0!</v>
      </c>
      <c r="AD248" s="106" t="e">
        <f t="shared" si="150"/>
        <v>#DIV/0!</v>
      </c>
      <c r="AE248" s="107" t="e">
        <f t="shared" si="150"/>
        <v>#DIV/0!</v>
      </c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x14ac:dyDescent="0.25">
      <c r="A249" s="4"/>
      <c r="B249" s="531"/>
      <c r="C249" s="42" t="s">
        <v>95</v>
      </c>
      <c r="D249" s="462"/>
      <c r="E249" s="462"/>
      <c r="F249" s="462"/>
      <c r="G249" s="462"/>
      <c r="H249" s="463"/>
      <c r="I249" s="5"/>
      <c r="J249" s="531"/>
      <c r="K249" s="42" t="s">
        <v>95</v>
      </c>
      <c r="L249" s="51" t="e">
        <f t="shared" si="130"/>
        <v>#DIV/0!</v>
      </c>
      <c r="M249" s="49" t="e">
        <f t="shared" si="126"/>
        <v>#DIV/0!</v>
      </c>
      <c r="N249" s="49" t="e">
        <f t="shared" si="127"/>
        <v>#DIV/0!</v>
      </c>
      <c r="O249" s="49" t="e">
        <f t="shared" si="128"/>
        <v>#DIV/0!</v>
      </c>
      <c r="P249" s="50" t="e">
        <f t="shared" si="129"/>
        <v>#DIV/0!</v>
      </c>
      <c r="Q249" s="5"/>
      <c r="R249" s="531"/>
      <c r="S249" s="42" t="s">
        <v>95</v>
      </c>
      <c r="T249" s="105" t="e">
        <f t="shared" si="149"/>
        <v>#DIV/0!</v>
      </c>
      <c r="U249" s="106" t="e">
        <f t="shared" si="149"/>
        <v>#DIV/0!</v>
      </c>
      <c r="V249" s="106" t="e">
        <f t="shared" si="149"/>
        <v>#DIV/0!</v>
      </c>
      <c r="W249" s="106" t="e">
        <f t="shared" si="149"/>
        <v>#DIV/0!</v>
      </c>
      <c r="X249" s="107" t="e">
        <f t="shared" si="149"/>
        <v>#DIV/0!</v>
      </c>
      <c r="Y249" s="5"/>
      <c r="Z249" s="531"/>
      <c r="AA249" s="42" t="s">
        <v>95</v>
      </c>
      <c r="AB249" s="53" t="e">
        <f t="shared" si="131"/>
        <v>#DIV/0!</v>
      </c>
      <c r="AC249" s="49" t="e">
        <f t="shared" si="132"/>
        <v>#DIV/0!</v>
      </c>
      <c r="AD249" s="106" t="e">
        <f t="shared" si="150"/>
        <v>#DIV/0!</v>
      </c>
      <c r="AE249" s="107" t="e">
        <f t="shared" si="150"/>
        <v>#DIV/0!</v>
      </c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x14ac:dyDescent="0.25">
      <c r="A250" s="4"/>
      <c r="B250" s="531"/>
      <c r="C250" s="117" t="s">
        <v>151</v>
      </c>
      <c r="D250" s="464"/>
      <c r="E250" s="464"/>
      <c r="F250" s="464"/>
      <c r="G250" s="464"/>
      <c r="H250" s="465"/>
      <c r="I250" s="5"/>
      <c r="J250" s="531"/>
      <c r="K250" s="117" t="s">
        <v>151</v>
      </c>
      <c r="L250" s="51" t="e">
        <f t="shared" si="130"/>
        <v>#DIV/0!</v>
      </c>
      <c r="M250" s="49" t="e">
        <f t="shared" ref="M250" si="151">E250/$D250</f>
        <v>#DIV/0!</v>
      </c>
      <c r="N250" s="49" t="e">
        <f t="shared" ref="N250" si="152">F250/$D250</f>
        <v>#DIV/0!</v>
      </c>
      <c r="O250" s="49" t="e">
        <f t="shared" si="128"/>
        <v>#DIV/0!</v>
      </c>
      <c r="P250" s="50" t="e">
        <f t="shared" ref="P250" si="153">H250/$D250</f>
        <v>#DIV/0!</v>
      </c>
      <c r="Q250" s="5"/>
      <c r="R250" s="531"/>
      <c r="S250" s="117" t="s">
        <v>151</v>
      </c>
      <c r="T250" s="105" t="e">
        <f t="shared" si="149"/>
        <v>#DIV/0!</v>
      </c>
      <c r="U250" s="105" t="e">
        <f t="shared" ref="U250" si="154">100*(E250-E240)/E240</f>
        <v>#DIV/0!</v>
      </c>
      <c r="V250" s="105" t="e">
        <f t="shared" ref="V250" si="155">100*(F250-F240)/F240</f>
        <v>#DIV/0!</v>
      </c>
      <c r="W250" s="105" t="e">
        <f t="shared" ref="W250" si="156">100*(G250-G240)/G240</f>
        <v>#DIV/0!</v>
      </c>
      <c r="X250" s="122" t="e">
        <f t="shared" ref="X250" si="157">100*(H250-H240)/H240</f>
        <v>#DIV/0!</v>
      </c>
      <c r="Y250" s="5"/>
      <c r="Z250" s="531"/>
      <c r="AA250" s="117" t="s">
        <v>151</v>
      </c>
      <c r="AB250" s="53" t="e">
        <f t="shared" ref="AB250" si="158">M250/O250</f>
        <v>#DIV/0!</v>
      </c>
      <c r="AC250" s="49" t="e">
        <f t="shared" ref="AC250" si="159">N250/P250</f>
        <v>#DIV/0!</v>
      </c>
      <c r="AD250" s="106" t="e">
        <f t="shared" ref="AD250" si="160">100*(AB250-AB240)/AB240</f>
        <v>#DIV/0!</v>
      </c>
      <c r="AE250" s="107" t="e">
        <f t="shared" ref="AE250" si="161">100*(AC250-AC240)/AC240</f>
        <v>#DIV/0!</v>
      </c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5.75" thickBot="1" x14ac:dyDescent="0.3">
      <c r="A251" s="4"/>
      <c r="B251" s="532"/>
      <c r="C251" s="54" t="s">
        <v>33</v>
      </c>
      <c r="D251" s="466"/>
      <c r="E251" s="466"/>
      <c r="F251" s="466"/>
      <c r="G251" s="466"/>
      <c r="H251" s="467"/>
      <c r="I251" s="5"/>
      <c r="J251" s="532"/>
      <c r="K251" s="54" t="s">
        <v>33</v>
      </c>
      <c r="L251" s="57" t="e">
        <f t="shared" si="130"/>
        <v>#DIV/0!</v>
      </c>
      <c r="M251" s="55" t="e">
        <f t="shared" si="126"/>
        <v>#DIV/0!</v>
      </c>
      <c r="N251" s="55" t="e">
        <f t="shared" si="127"/>
        <v>#DIV/0!</v>
      </c>
      <c r="O251" s="55" t="e">
        <f t="shared" si="128"/>
        <v>#DIV/0!</v>
      </c>
      <c r="P251" s="56" t="e">
        <f t="shared" si="129"/>
        <v>#DIV/0!</v>
      </c>
      <c r="Q251" s="5"/>
      <c r="R251" s="532"/>
      <c r="S251" s="54" t="s">
        <v>33</v>
      </c>
      <c r="T251" s="105" t="e">
        <f t="shared" ref="T251:X251" si="162">100*(D251-D241)/D241</f>
        <v>#DIV/0!</v>
      </c>
      <c r="U251" s="109" t="e">
        <f t="shared" si="162"/>
        <v>#DIV/0!</v>
      </c>
      <c r="V251" s="109" t="e">
        <f t="shared" si="162"/>
        <v>#DIV/0!</v>
      </c>
      <c r="W251" s="109" t="e">
        <f t="shared" si="162"/>
        <v>#DIV/0!</v>
      </c>
      <c r="X251" s="110" t="e">
        <f t="shared" si="162"/>
        <v>#DIV/0!</v>
      </c>
      <c r="Y251" s="5"/>
      <c r="Z251" s="532"/>
      <c r="AA251" s="54" t="s">
        <v>33</v>
      </c>
      <c r="AB251" s="59" t="e">
        <f t="shared" si="131"/>
        <v>#DIV/0!</v>
      </c>
      <c r="AC251" s="55" t="e">
        <f t="shared" si="132"/>
        <v>#DIV/0!</v>
      </c>
      <c r="AD251" s="109" t="e">
        <f>100*(AB251-AB241)/AB241</f>
        <v>#DIV/0!</v>
      </c>
      <c r="AE251" s="110" t="e">
        <f t="shared" ref="AE251" si="163">100*(AC251-AC241)/AC241</f>
        <v>#DIV/0!</v>
      </c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5.75" customHeight="1" x14ac:dyDescent="0.25">
      <c r="A252" s="4"/>
      <c r="B252" s="530" t="s">
        <v>98</v>
      </c>
      <c r="C252" s="41" t="s">
        <v>28</v>
      </c>
      <c r="D252" s="460"/>
      <c r="E252" s="460"/>
      <c r="F252" s="460"/>
      <c r="G252" s="460"/>
      <c r="H252" s="461"/>
      <c r="I252" s="5"/>
      <c r="J252" s="530" t="s">
        <v>98</v>
      </c>
      <c r="K252" s="41" t="s">
        <v>28</v>
      </c>
      <c r="L252" s="46" t="e">
        <f t="shared" si="130"/>
        <v>#DIV/0!</v>
      </c>
      <c r="M252" s="44" t="e">
        <f t="shared" si="126"/>
        <v>#DIV/0!</v>
      </c>
      <c r="N252" s="44" t="e">
        <f t="shared" si="127"/>
        <v>#DIV/0!</v>
      </c>
      <c r="O252" s="44" t="e">
        <f t="shared" si="128"/>
        <v>#DIV/0!</v>
      </c>
      <c r="P252" s="45" t="e">
        <f t="shared" si="129"/>
        <v>#DIV/0!</v>
      </c>
      <c r="Q252" s="5"/>
      <c r="R252" s="530" t="s">
        <v>98</v>
      </c>
      <c r="S252" s="41" t="s">
        <v>28</v>
      </c>
      <c r="T252" s="102" t="e">
        <f t="shared" ref="T252:X255" si="164">100*(D252-D237)/D237</f>
        <v>#DIV/0!</v>
      </c>
      <c r="U252" s="103" t="e">
        <f t="shared" si="164"/>
        <v>#DIV/0!</v>
      </c>
      <c r="V252" s="103" t="e">
        <f t="shared" si="164"/>
        <v>#DIV/0!</v>
      </c>
      <c r="W252" s="103" t="e">
        <f t="shared" si="164"/>
        <v>#DIV/0!</v>
      </c>
      <c r="X252" s="104" t="e">
        <f t="shared" si="164"/>
        <v>#DIV/0!</v>
      </c>
      <c r="Y252" s="5"/>
      <c r="Z252" s="530" t="s">
        <v>98</v>
      </c>
      <c r="AA252" s="41" t="s">
        <v>28</v>
      </c>
      <c r="AB252" s="48" t="e">
        <f t="shared" si="131"/>
        <v>#DIV/0!</v>
      </c>
      <c r="AC252" s="44" t="e">
        <f t="shared" si="132"/>
        <v>#DIV/0!</v>
      </c>
      <c r="AD252" s="103" t="e">
        <f t="shared" ref="AD252:AE254" si="165">100*(AB252-AB237)/AB237</f>
        <v>#DIV/0!</v>
      </c>
      <c r="AE252" s="104" t="e">
        <f t="shared" si="165"/>
        <v>#DIV/0!</v>
      </c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x14ac:dyDescent="0.25">
      <c r="A253" s="4"/>
      <c r="B253" s="531"/>
      <c r="C253" s="42" t="s">
        <v>94</v>
      </c>
      <c r="D253" s="462"/>
      <c r="E253" s="462"/>
      <c r="F253" s="462"/>
      <c r="G253" s="462"/>
      <c r="H253" s="463"/>
      <c r="I253" s="5"/>
      <c r="J253" s="531"/>
      <c r="K253" s="42" t="s">
        <v>94</v>
      </c>
      <c r="L253" s="51" t="e">
        <f t="shared" si="130"/>
        <v>#DIV/0!</v>
      </c>
      <c r="M253" s="49" t="e">
        <f t="shared" si="126"/>
        <v>#DIV/0!</v>
      </c>
      <c r="N253" s="49" t="e">
        <f t="shared" si="127"/>
        <v>#DIV/0!</v>
      </c>
      <c r="O253" s="49" t="e">
        <f t="shared" si="128"/>
        <v>#DIV/0!</v>
      </c>
      <c r="P253" s="50" t="e">
        <f t="shared" si="129"/>
        <v>#DIV/0!</v>
      </c>
      <c r="Q253" s="5"/>
      <c r="R253" s="531"/>
      <c r="S253" s="42" t="s">
        <v>94</v>
      </c>
      <c r="T253" s="105" t="e">
        <f t="shared" si="164"/>
        <v>#DIV/0!</v>
      </c>
      <c r="U253" s="106" t="e">
        <f t="shared" si="164"/>
        <v>#DIV/0!</v>
      </c>
      <c r="V253" s="106" t="e">
        <f t="shared" si="164"/>
        <v>#DIV/0!</v>
      </c>
      <c r="W253" s="106" t="e">
        <f t="shared" si="164"/>
        <v>#DIV/0!</v>
      </c>
      <c r="X253" s="107" t="e">
        <f t="shared" si="164"/>
        <v>#DIV/0!</v>
      </c>
      <c r="Y253" s="5"/>
      <c r="Z253" s="531"/>
      <c r="AA253" s="42" t="s">
        <v>94</v>
      </c>
      <c r="AB253" s="53" t="e">
        <f t="shared" si="131"/>
        <v>#DIV/0!</v>
      </c>
      <c r="AC253" s="49" t="e">
        <f t="shared" si="132"/>
        <v>#DIV/0!</v>
      </c>
      <c r="AD253" s="106" t="e">
        <f t="shared" si="165"/>
        <v>#DIV/0!</v>
      </c>
      <c r="AE253" s="107" t="e">
        <f t="shared" si="165"/>
        <v>#DIV/0!</v>
      </c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x14ac:dyDescent="0.25">
      <c r="A254" s="4"/>
      <c r="B254" s="531"/>
      <c r="C254" s="42" t="s">
        <v>95</v>
      </c>
      <c r="D254" s="462"/>
      <c r="E254" s="462"/>
      <c r="F254" s="462"/>
      <c r="G254" s="462"/>
      <c r="H254" s="463"/>
      <c r="I254" s="5"/>
      <c r="J254" s="531"/>
      <c r="K254" s="42" t="s">
        <v>95</v>
      </c>
      <c r="L254" s="51" t="e">
        <f t="shared" si="130"/>
        <v>#DIV/0!</v>
      </c>
      <c r="M254" s="49" t="e">
        <f t="shared" si="126"/>
        <v>#DIV/0!</v>
      </c>
      <c r="N254" s="49" t="e">
        <f t="shared" si="127"/>
        <v>#DIV/0!</v>
      </c>
      <c r="O254" s="49" t="e">
        <f t="shared" si="128"/>
        <v>#DIV/0!</v>
      </c>
      <c r="P254" s="50" t="e">
        <f t="shared" si="129"/>
        <v>#DIV/0!</v>
      </c>
      <c r="Q254" s="5"/>
      <c r="R254" s="531"/>
      <c r="S254" s="42" t="s">
        <v>95</v>
      </c>
      <c r="T254" s="105" t="e">
        <f t="shared" si="164"/>
        <v>#DIV/0!</v>
      </c>
      <c r="U254" s="106" t="e">
        <f t="shared" si="164"/>
        <v>#DIV/0!</v>
      </c>
      <c r="V254" s="106" t="e">
        <f t="shared" si="164"/>
        <v>#DIV/0!</v>
      </c>
      <c r="W254" s="106" t="e">
        <f t="shared" si="164"/>
        <v>#DIV/0!</v>
      </c>
      <c r="X254" s="107" t="e">
        <f t="shared" si="164"/>
        <v>#DIV/0!</v>
      </c>
      <c r="Y254" s="5"/>
      <c r="Z254" s="531"/>
      <c r="AA254" s="42" t="s">
        <v>95</v>
      </c>
      <c r="AB254" s="53" t="e">
        <f t="shared" si="131"/>
        <v>#DIV/0!</v>
      </c>
      <c r="AC254" s="49" t="e">
        <f t="shared" si="132"/>
        <v>#DIV/0!</v>
      </c>
      <c r="AD254" s="106" t="e">
        <f t="shared" si="165"/>
        <v>#DIV/0!</v>
      </c>
      <c r="AE254" s="107" t="e">
        <f t="shared" si="165"/>
        <v>#DIV/0!</v>
      </c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x14ac:dyDescent="0.25">
      <c r="A255" s="4"/>
      <c r="B255" s="531"/>
      <c r="C255" s="117" t="s">
        <v>151</v>
      </c>
      <c r="D255" s="464"/>
      <c r="E255" s="464"/>
      <c r="F255" s="464"/>
      <c r="G255" s="464"/>
      <c r="H255" s="465"/>
      <c r="I255" s="5"/>
      <c r="J255" s="531"/>
      <c r="K255" s="117" t="s">
        <v>151</v>
      </c>
      <c r="L255" s="118" t="e">
        <f t="shared" si="130"/>
        <v>#DIV/0!</v>
      </c>
      <c r="M255" s="119" t="e">
        <f t="shared" si="126"/>
        <v>#DIV/0!</v>
      </c>
      <c r="N255" s="119" t="e">
        <f t="shared" si="127"/>
        <v>#DIV/0!</v>
      </c>
      <c r="O255" s="119" t="e">
        <f t="shared" si="128"/>
        <v>#DIV/0!</v>
      </c>
      <c r="P255" s="120" t="e">
        <f t="shared" si="129"/>
        <v>#DIV/0!</v>
      </c>
      <c r="Q255" s="5"/>
      <c r="R255" s="531"/>
      <c r="S255" s="117" t="s">
        <v>151</v>
      </c>
      <c r="T255" s="105" t="e">
        <f t="shared" si="164"/>
        <v>#DIV/0!</v>
      </c>
      <c r="U255" s="105" t="e">
        <f t="shared" ref="U255" si="166">100*(E255-E240)/E240</f>
        <v>#DIV/0!</v>
      </c>
      <c r="V255" s="105" t="e">
        <f t="shared" ref="V255" si="167">100*(F255-F240)/F240</f>
        <v>#DIV/0!</v>
      </c>
      <c r="W255" s="105" t="e">
        <f t="shared" ref="W255" si="168">100*(G255-G240)/G240</f>
        <v>#DIV/0!</v>
      </c>
      <c r="X255" s="122" t="e">
        <f t="shared" ref="X255" si="169">100*(H255-H240)/H240</f>
        <v>#DIV/0!</v>
      </c>
      <c r="Y255" s="5"/>
      <c r="Z255" s="531"/>
      <c r="AA255" s="117" t="s">
        <v>151</v>
      </c>
      <c r="AB255" s="53" t="e">
        <f t="shared" ref="AB255" si="170">M255/O255</f>
        <v>#DIV/0!</v>
      </c>
      <c r="AC255" s="49" t="e">
        <f t="shared" ref="AC255" si="171">N255/P255</f>
        <v>#DIV/0!</v>
      </c>
      <c r="AD255" s="106" t="e">
        <f t="shared" ref="AD255" si="172">100*(AB255-AB240)/AB240</f>
        <v>#DIV/0!</v>
      </c>
      <c r="AE255" s="107" t="e">
        <f t="shared" ref="AE255" si="173">100*(AC255-AC240)/AC240</f>
        <v>#DIV/0!</v>
      </c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5.75" thickBot="1" x14ac:dyDescent="0.3">
      <c r="A256" s="4"/>
      <c r="B256" s="532"/>
      <c r="C256" s="54" t="s">
        <v>33</v>
      </c>
      <c r="D256" s="466"/>
      <c r="E256" s="466"/>
      <c r="F256" s="466"/>
      <c r="G256" s="466"/>
      <c r="H256" s="467"/>
      <c r="I256" s="5"/>
      <c r="J256" s="532"/>
      <c r="K256" s="54" t="s">
        <v>33</v>
      </c>
      <c r="L256" s="57" t="e">
        <f t="shared" si="130"/>
        <v>#DIV/0!</v>
      </c>
      <c r="M256" s="55" t="e">
        <f t="shared" si="126"/>
        <v>#DIV/0!</v>
      </c>
      <c r="N256" s="55" t="e">
        <f t="shared" si="127"/>
        <v>#DIV/0!</v>
      </c>
      <c r="O256" s="55" t="e">
        <f t="shared" si="128"/>
        <v>#DIV/0!</v>
      </c>
      <c r="P256" s="56" t="e">
        <f t="shared" si="129"/>
        <v>#DIV/0!</v>
      </c>
      <c r="Q256" s="5"/>
      <c r="R256" s="532"/>
      <c r="S256" s="54" t="s">
        <v>33</v>
      </c>
      <c r="T256" s="108" t="e">
        <f t="shared" ref="T256:X256" si="174">100*(D256-D241)/D241</f>
        <v>#DIV/0!</v>
      </c>
      <c r="U256" s="109" t="e">
        <f t="shared" si="174"/>
        <v>#DIV/0!</v>
      </c>
      <c r="V256" s="109" t="e">
        <f t="shared" si="174"/>
        <v>#DIV/0!</v>
      </c>
      <c r="W256" s="109" t="e">
        <f t="shared" si="174"/>
        <v>#DIV/0!</v>
      </c>
      <c r="X256" s="110" t="e">
        <f t="shared" si="174"/>
        <v>#DIV/0!</v>
      </c>
      <c r="Y256" s="5"/>
      <c r="Z256" s="532"/>
      <c r="AA256" s="54" t="s">
        <v>33</v>
      </c>
      <c r="AB256" s="59" t="e">
        <f t="shared" si="131"/>
        <v>#DIV/0!</v>
      </c>
      <c r="AC256" s="55" t="e">
        <f t="shared" si="132"/>
        <v>#DIV/0!</v>
      </c>
      <c r="AD256" s="109" t="e">
        <f t="shared" ref="AD256" si="175">100*(AB256-AB241)/AB241</f>
        <v>#DIV/0!</v>
      </c>
      <c r="AE256" s="110" t="e">
        <f t="shared" ref="AE256" si="176">100*(AC256-AC241)/AC241</f>
        <v>#DIV/0!</v>
      </c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8.75" customHeight="1" thickBot="1" x14ac:dyDescent="0.35">
      <c r="A259" s="30"/>
      <c r="B259" s="448" t="s">
        <v>111</v>
      </c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30.75" customHeight="1" thickBot="1" x14ac:dyDescent="0.3">
      <c r="A260" s="4"/>
      <c r="B260" s="545" t="s">
        <v>172</v>
      </c>
      <c r="C260" s="545"/>
      <c r="D260" s="545"/>
      <c r="E260" s="545"/>
      <c r="F260" s="545"/>
      <c r="G260" s="545"/>
      <c r="H260" s="545"/>
      <c r="I260" s="4"/>
      <c r="J260" s="529" t="s">
        <v>134</v>
      </c>
      <c r="K260" s="529"/>
      <c r="L260" s="529"/>
      <c r="M260" s="529"/>
      <c r="N260" s="529"/>
      <c r="O260" s="529"/>
      <c r="P260" s="529"/>
      <c r="Q260" s="4"/>
      <c r="R260" s="529" t="s">
        <v>99</v>
      </c>
      <c r="S260" s="529"/>
      <c r="T260" s="529"/>
      <c r="U260" s="529"/>
      <c r="V260" s="529"/>
      <c r="W260" s="529"/>
      <c r="X260" s="529"/>
      <c r="Y260" s="4"/>
      <c r="Z260" s="535"/>
      <c r="AA260" s="535"/>
      <c r="AB260" s="536" t="s">
        <v>104</v>
      </c>
      <c r="AC260" s="536"/>
      <c r="AD260" s="537" t="s">
        <v>99</v>
      </c>
      <c r="AE260" s="537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26.25" thickBot="1" x14ac:dyDescent="0.3">
      <c r="A261" s="4"/>
      <c r="B261" s="43" t="s">
        <v>87</v>
      </c>
      <c r="C261" s="43" t="s">
        <v>85</v>
      </c>
      <c r="D261" s="43" t="s">
        <v>88</v>
      </c>
      <c r="E261" s="43" t="s">
        <v>89</v>
      </c>
      <c r="F261" s="43" t="s">
        <v>90</v>
      </c>
      <c r="G261" s="43" t="s">
        <v>91</v>
      </c>
      <c r="H261" s="43" t="s">
        <v>92</v>
      </c>
      <c r="I261" s="4"/>
      <c r="J261" s="43" t="s">
        <v>87</v>
      </c>
      <c r="K261" s="43" t="s">
        <v>85</v>
      </c>
      <c r="L261" s="43" t="s">
        <v>88</v>
      </c>
      <c r="M261" s="43" t="s">
        <v>89</v>
      </c>
      <c r="N261" s="43" t="s">
        <v>90</v>
      </c>
      <c r="O261" s="43" t="s">
        <v>91</v>
      </c>
      <c r="P261" s="43" t="s">
        <v>92</v>
      </c>
      <c r="Q261" s="4"/>
      <c r="R261" s="43" t="s">
        <v>87</v>
      </c>
      <c r="S261" s="43" t="s">
        <v>85</v>
      </c>
      <c r="T261" s="43" t="s">
        <v>88</v>
      </c>
      <c r="U261" s="43" t="s">
        <v>89</v>
      </c>
      <c r="V261" s="43" t="s">
        <v>90</v>
      </c>
      <c r="W261" s="43" t="s">
        <v>91</v>
      </c>
      <c r="X261" s="43" t="s">
        <v>92</v>
      </c>
      <c r="Y261" s="4"/>
      <c r="Z261" s="43" t="s">
        <v>87</v>
      </c>
      <c r="AA261" s="43" t="s">
        <v>85</v>
      </c>
      <c r="AB261" s="43" t="s">
        <v>105</v>
      </c>
      <c r="AC261" s="43" t="s">
        <v>106</v>
      </c>
      <c r="AD261" s="43" t="s">
        <v>105</v>
      </c>
      <c r="AE261" s="43" t="s">
        <v>106</v>
      </c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x14ac:dyDescent="0.25">
      <c r="A262" s="4"/>
      <c r="B262" s="539" t="s">
        <v>93</v>
      </c>
      <c r="C262" s="41" t="s">
        <v>107</v>
      </c>
      <c r="D262" s="468"/>
      <c r="E262" s="468"/>
      <c r="F262" s="468"/>
      <c r="G262" s="468"/>
      <c r="H262" s="469"/>
      <c r="I262" s="4"/>
      <c r="J262" s="539" t="s">
        <v>93</v>
      </c>
      <c r="K262" s="41" t="s">
        <v>107</v>
      </c>
      <c r="L262" s="36" t="e">
        <f>D262/D262</f>
        <v>#DIV/0!</v>
      </c>
      <c r="M262" s="36" t="e">
        <f t="shared" ref="M262:M281" si="177">E262/D262</f>
        <v>#DIV/0!</v>
      </c>
      <c r="N262" s="36" t="e">
        <f t="shared" ref="N262:N281" si="178">F262/D262</f>
        <v>#DIV/0!</v>
      </c>
      <c r="O262" s="36" t="e">
        <f t="shared" ref="O262:O281" si="179">G262/D262</f>
        <v>#DIV/0!</v>
      </c>
      <c r="P262" s="37" t="e">
        <f t="shared" ref="P262:P281" si="180">H262/D262</f>
        <v>#DIV/0!</v>
      </c>
      <c r="Q262" s="4"/>
      <c r="R262" s="539" t="s">
        <v>93</v>
      </c>
      <c r="S262" s="41" t="s">
        <v>107</v>
      </c>
      <c r="T262" s="46">
        <v>0</v>
      </c>
      <c r="U262" s="46">
        <v>0</v>
      </c>
      <c r="V262" s="46">
        <v>0</v>
      </c>
      <c r="W262" s="46">
        <v>0</v>
      </c>
      <c r="X262" s="47">
        <v>0</v>
      </c>
      <c r="Y262" s="4"/>
      <c r="Z262" s="539" t="s">
        <v>93</v>
      </c>
      <c r="AA262" s="41" t="s">
        <v>107</v>
      </c>
      <c r="AB262" s="48" t="e">
        <f>M262/O262</f>
        <v>#DIV/0!</v>
      </c>
      <c r="AC262" s="48" t="e">
        <f>N262/P262</f>
        <v>#DIV/0!</v>
      </c>
      <c r="AD262" s="46">
        <v>0</v>
      </c>
      <c r="AE262" s="47">
        <v>0</v>
      </c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x14ac:dyDescent="0.25">
      <c r="A263" s="4"/>
      <c r="B263" s="540"/>
      <c r="C263" s="42" t="s">
        <v>108</v>
      </c>
      <c r="D263" s="470"/>
      <c r="E263" s="470"/>
      <c r="F263" s="470"/>
      <c r="G263" s="470"/>
      <c r="H263" s="471"/>
      <c r="I263" s="4"/>
      <c r="J263" s="540"/>
      <c r="K263" s="42" t="s">
        <v>108</v>
      </c>
      <c r="L263" s="38" t="e">
        <f t="shared" ref="L263:L281" si="181">D263/D263</f>
        <v>#DIV/0!</v>
      </c>
      <c r="M263" s="38" t="e">
        <f t="shared" si="177"/>
        <v>#DIV/0!</v>
      </c>
      <c r="N263" s="38" t="e">
        <f t="shared" si="178"/>
        <v>#DIV/0!</v>
      </c>
      <c r="O263" s="38" t="e">
        <f t="shared" si="179"/>
        <v>#DIV/0!</v>
      </c>
      <c r="P263" s="39" t="e">
        <f t="shared" si="180"/>
        <v>#DIV/0!</v>
      </c>
      <c r="Q263" s="4"/>
      <c r="R263" s="540"/>
      <c r="S263" s="42" t="s">
        <v>108</v>
      </c>
      <c r="T263" s="51">
        <v>0</v>
      </c>
      <c r="U263" s="51">
        <v>0</v>
      </c>
      <c r="V263" s="51">
        <v>0</v>
      </c>
      <c r="W263" s="51">
        <v>0</v>
      </c>
      <c r="X263" s="52">
        <v>0</v>
      </c>
      <c r="Y263" s="4"/>
      <c r="Z263" s="540"/>
      <c r="AA263" s="42" t="s">
        <v>108</v>
      </c>
      <c r="AB263" s="53" t="e">
        <f t="shared" ref="AB263:AB281" si="182">M263/O263</f>
        <v>#DIV/0!</v>
      </c>
      <c r="AC263" s="53" t="e">
        <f t="shared" ref="AC263:AC281" si="183">N263/P263</f>
        <v>#DIV/0!</v>
      </c>
      <c r="AD263" s="51">
        <v>0</v>
      </c>
      <c r="AE263" s="52">
        <v>0</v>
      </c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x14ac:dyDescent="0.25">
      <c r="A264" s="4"/>
      <c r="B264" s="540"/>
      <c r="C264" s="42" t="s">
        <v>109</v>
      </c>
      <c r="D264" s="470"/>
      <c r="E264" s="470"/>
      <c r="F264" s="470"/>
      <c r="G264" s="470"/>
      <c r="H264" s="471"/>
      <c r="I264" s="4"/>
      <c r="J264" s="540"/>
      <c r="K264" s="42" t="s">
        <v>109</v>
      </c>
      <c r="L264" s="38" t="e">
        <f t="shared" si="181"/>
        <v>#DIV/0!</v>
      </c>
      <c r="M264" s="38" t="e">
        <f t="shared" si="177"/>
        <v>#DIV/0!</v>
      </c>
      <c r="N264" s="38" t="e">
        <f t="shared" si="178"/>
        <v>#DIV/0!</v>
      </c>
      <c r="O264" s="38" t="e">
        <f t="shared" si="179"/>
        <v>#DIV/0!</v>
      </c>
      <c r="P264" s="39" t="e">
        <f t="shared" si="180"/>
        <v>#DIV/0!</v>
      </c>
      <c r="Q264" s="4"/>
      <c r="R264" s="540"/>
      <c r="S264" s="42" t="s">
        <v>109</v>
      </c>
      <c r="T264" s="51">
        <v>0</v>
      </c>
      <c r="U264" s="51">
        <v>0</v>
      </c>
      <c r="V264" s="51">
        <v>0</v>
      </c>
      <c r="W264" s="51">
        <v>0</v>
      </c>
      <c r="X264" s="52">
        <v>0</v>
      </c>
      <c r="Y264" s="4"/>
      <c r="Z264" s="540"/>
      <c r="AA264" s="42" t="s">
        <v>109</v>
      </c>
      <c r="AB264" s="53" t="e">
        <f t="shared" si="182"/>
        <v>#DIV/0!</v>
      </c>
      <c r="AC264" s="53" t="e">
        <f t="shared" si="183"/>
        <v>#DIV/0!</v>
      </c>
      <c r="AD264" s="51">
        <v>0</v>
      </c>
      <c r="AE264" s="52">
        <v>0</v>
      </c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x14ac:dyDescent="0.25">
      <c r="A265" s="4"/>
      <c r="B265" s="540"/>
      <c r="C265" s="42" t="s">
        <v>152</v>
      </c>
      <c r="D265" s="470"/>
      <c r="E265" s="470"/>
      <c r="F265" s="470"/>
      <c r="G265" s="470"/>
      <c r="H265" s="471"/>
      <c r="I265" s="4"/>
      <c r="J265" s="540"/>
      <c r="K265" s="42" t="s">
        <v>152</v>
      </c>
      <c r="L265" s="38" t="e">
        <f t="shared" si="181"/>
        <v>#DIV/0!</v>
      </c>
      <c r="M265" s="38" t="e">
        <f t="shared" si="177"/>
        <v>#DIV/0!</v>
      </c>
      <c r="N265" s="38" t="e">
        <f t="shared" si="178"/>
        <v>#DIV/0!</v>
      </c>
      <c r="O265" s="38" t="e">
        <f t="shared" si="179"/>
        <v>#DIV/0!</v>
      </c>
      <c r="P265" s="39" t="e">
        <f t="shared" si="180"/>
        <v>#DIV/0!</v>
      </c>
      <c r="Q265" s="4"/>
      <c r="R265" s="540"/>
      <c r="S265" s="42" t="s">
        <v>152</v>
      </c>
      <c r="T265" s="51">
        <v>0</v>
      </c>
      <c r="U265" s="51">
        <v>0</v>
      </c>
      <c r="V265" s="51">
        <v>0</v>
      </c>
      <c r="W265" s="51">
        <v>0</v>
      </c>
      <c r="X265" s="52">
        <v>0</v>
      </c>
      <c r="Y265" s="4"/>
      <c r="Z265" s="540"/>
      <c r="AA265" s="42" t="s">
        <v>152</v>
      </c>
      <c r="AB265" s="53" t="e">
        <f t="shared" si="182"/>
        <v>#DIV/0!</v>
      </c>
      <c r="AC265" s="53" t="e">
        <f t="shared" si="183"/>
        <v>#DIV/0!</v>
      </c>
      <c r="AD265" s="51">
        <v>0</v>
      </c>
      <c r="AE265" s="52">
        <v>0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5.75" thickBot="1" x14ac:dyDescent="0.3">
      <c r="A266" s="4"/>
      <c r="B266" s="540"/>
      <c r="C266" s="42" t="s">
        <v>153</v>
      </c>
      <c r="D266" s="470"/>
      <c r="E266" s="470"/>
      <c r="F266" s="470"/>
      <c r="G266" s="470"/>
      <c r="H266" s="471"/>
      <c r="I266" s="4"/>
      <c r="J266" s="540"/>
      <c r="K266" s="42" t="s">
        <v>153</v>
      </c>
      <c r="L266" s="38" t="e">
        <f t="shared" si="181"/>
        <v>#DIV/0!</v>
      </c>
      <c r="M266" s="38" t="e">
        <f t="shared" si="177"/>
        <v>#DIV/0!</v>
      </c>
      <c r="N266" s="40" t="e">
        <f t="shared" si="178"/>
        <v>#DIV/0!</v>
      </c>
      <c r="O266" s="38" t="e">
        <f t="shared" si="179"/>
        <v>#DIV/0!</v>
      </c>
      <c r="P266" s="39" t="e">
        <f t="shared" si="180"/>
        <v>#DIV/0!</v>
      </c>
      <c r="Q266" s="4"/>
      <c r="R266" s="540"/>
      <c r="S266" s="42" t="s">
        <v>153</v>
      </c>
      <c r="T266" s="57">
        <v>0</v>
      </c>
      <c r="U266" s="57">
        <v>0</v>
      </c>
      <c r="V266" s="57">
        <v>0</v>
      </c>
      <c r="W266" s="57">
        <v>0</v>
      </c>
      <c r="X266" s="58">
        <v>0</v>
      </c>
      <c r="Y266" s="4"/>
      <c r="Z266" s="540"/>
      <c r="AA266" s="42" t="s">
        <v>153</v>
      </c>
      <c r="AB266" s="53" t="e">
        <f t="shared" si="182"/>
        <v>#DIV/0!</v>
      </c>
      <c r="AC266" s="53" t="e">
        <f t="shared" si="183"/>
        <v>#DIV/0!</v>
      </c>
      <c r="AD266" s="51">
        <v>0</v>
      </c>
      <c r="AE266" s="52">
        <v>0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5" customHeight="1" x14ac:dyDescent="0.25">
      <c r="A267" s="30"/>
      <c r="B267" s="539" t="s">
        <v>96</v>
      </c>
      <c r="C267" s="41" t="s">
        <v>107</v>
      </c>
      <c r="D267" s="468"/>
      <c r="E267" s="468"/>
      <c r="F267" s="468"/>
      <c r="G267" s="468"/>
      <c r="H267" s="469"/>
      <c r="I267" s="4"/>
      <c r="J267" s="539" t="s">
        <v>96</v>
      </c>
      <c r="K267" s="41" t="s">
        <v>107</v>
      </c>
      <c r="L267" s="36" t="e">
        <f t="shared" si="181"/>
        <v>#DIV/0!</v>
      </c>
      <c r="M267" s="36" t="e">
        <f t="shared" si="177"/>
        <v>#DIV/0!</v>
      </c>
      <c r="N267" s="36" t="e">
        <f t="shared" si="178"/>
        <v>#DIV/0!</v>
      </c>
      <c r="O267" s="36" t="e">
        <f t="shared" si="179"/>
        <v>#DIV/0!</v>
      </c>
      <c r="P267" s="37" t="e">
        <f t="shared" si="180"/>
        <v>#DIV/0!</v>
      </c>
      <c r="Q267" s="4"/>
      <c r="R267" s="539" t="s">
        <v>96</v>
      </c>
      <c r="S267" s="41" t="s">
        <v>107</v>
      </c>
      <c r="T267" s="123" t="e">
        <f t="shared" ref="T267:X271" si="184">100*(D267-D262)/D262</f>
        <v>#DIV/0!</v>
      </c>
      <c r="U267" s="449" t="e">
        <f t="shared" si="184"/>
        <v>#DIV/0!</v>
      </c>
      <c r="V267" s="449" t="e">
        <f t="shared" si="184"/>
        <v>#DIV/0!</v>
      </c>
      <c r="W267" s="449" t="e">
        <f t="shared" si="184"/>
        <v>#DIV/0!</v>
      </c>
      <c r="X267" s="450" t="e">
        <f t="shared" si="184"/>
        <v>#DIV/0!</v>
      </c>
      <c r="Y267" s="34"/>
      <c r="Z267" s="542" t="s">
        <v>96</v>
      </c>
      <c r="AA267" s="451" t="s">
        <v>107</v>
      </c>
      <c r="AB267" s="48" t="e">
        <f t="shared" si="182"/>
        <v>#DIV/0!</v>
      </c>
      <c r="AC267" s="48" t="e">
        <f t="shared" si="183"/>
        <v>#DIV/0!</v>
      </c>
      <c r="AD267" s="102" t="e">
        <f>100*(AB267-AB262)/AB262</f>
        <v>#DIV/0!</v>
      </c>
      <c r="AE267" s="452" t="e">
        <f>100*(AC267-AC262)/AC262</f>
        <v>#DIV/0!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x14ac:dyDescent="0.25">
      <c r="A268" s="4"/>
      <c r="B268" s="540"/>
      <c r="C268" s="42" t="s">
        <v>108</v>
      </c>
      <c r="D268" s="470"/>
      <c r="E268" s="470"/>
      <c r="F268" s="470"/>
      <c r="G268" s="470"/>
      <c r="H268" s="471"/>
      <c r="I268" s="4"/>
      <c r="J268" s="540"/>
      <c r="K268" s="42" t="s">
        <v>108</v>
      </c>
      <c r="L268" s="38" t="e">
        <f t="shared" si="181"/>
        <v>#DIV/0!</v>
      </c>
      <c r="M268" s="38" t="e">
        <f t="shared" si="177"/>
        <v>#DIV/0!</v>
      </c>
      <c r="N268" s="38" t="e">
        <f t="shared" si="178"/>
        <v>#DIV/0!</v>
      </c>
      <c r="O268" s="38" t="e">
        <f t="shared" si="179"/>
        <v>#DIV/0!</v>
      </c>
      <c r="P268" s="39" t="e">
        <f t="shared" si="180"/>
        <v>#DIV/0!</v>
      </c>
      <c r="Q268" s="4"/>
      <c r="R268" s="540"/>
      <c r="S268" s="42" t="s">
        <v>108</v>
      </c>
      <c r="T268" s="124" t="e">
        <f t="shared" si="184"/>
        <v>#DIV/0!</v>
      </c>
      <c r="U268" s="453" t="e">
        <f t="shared" si="184"/>
        <v>#DIV/0!</v>
      </c>
      <c r="V268" s="453" t="e">
        <f t="shared" si="184"/>
        <v>#DIV/0!</v>
      </c>
      <c r="W268" s="453" t="e">
        <f t="shared" si="184"/>
        <v>#DIV/0!</v>
      </c>
      <c r="X268" s="454" t="e">
        <f t="shared" si="184"/>
        <v>#DIV/0!</v>
      </c>
      <c r="Y268" s="34"/>
      <c r="Z268" s="543"/>
      <c r="AA268" s="455" t="s">
        <v>108</v>
      </c>
      <c r="AB268" s="53" t="e">
        <f t="shared" si="182"/>
        <v>#DIV/0!</v>
      </c>
      <c r="AC268" s="53" t="e">
        <f t="shared" si="183"/>
        <v>#DIV/0!</v>
      </c>
      <c r="AD268" s="105" t="e">
        <f t="shared" ref="AD268:AD271" si="185">100*(AB268-AB263)/AB263</f>
        <v>#DIV/0!</v>
      </c>
      <c r="AE268" s="122" t="e">
        <f t="shared" ref="AE268:AE271" si="186">100*(AC268-AC263)/AC263</f>
        <v>#DIV/0!</v>
      </c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x14ac:dyDescent="0.25">
      <c r="A269" s="4"/>
      <c r="B269" s="540"/>
      <c r="C269" s="42" t="s">
        <v>109</v>
      </c>
      <c r="D269" s="470"/>
      <c r="E269" s="470"/>
      <c r="F269" s="470"/>
      <c r="G269" s="470"/>
      <c r="H269" s="471"/>
      <c r="I269" s="4"/>
      <c r="J269" s="540"/>
      <c r="K269" s="42" t="s">
        <v>109</v>
      </c>
      <c r="L269" s="38" t="e">
        <f t="shared" si="181"/>
        <v>#DIV/0!</v>
      </c>
      <c r="M269" s="38" t="e">
        <f t="shared" si="177"/>
        <v>#DIV/0!</v>
      </c>
      <c r="N269" s="38" t="e">
        <f t="shared" si="178"/>
        <v>#DIV/0!</v>
      </c>
      <c r="O269" s="38" t="e">
        <f t="shared" si="179"/>
        <v>#DIV/0!</v>
      </c>
      <c r="P269" s="39" t="e">
        <f t="shared" si="180"/>
        <v>#DIV/0!</v>
      </c>
      <c r="Q269" s="4"/>
      <c r="R269" s="540"/>
      <c r="S269" s="42" t="s">
        <v>109</v>
      </c>
      <c r="T269" s="124" t="e">
        <f t="shared" si="184"/>
        <v>#DIV/0!</v>
      </c>
      <c r="U269" s="453" t="e">
        <f t="shared" si="184"/>
        <v>#DIV/0!</v>
      </c>
      <c r="V269" s="453" t="e">
        <f t="shared" si="184"/>
        <v>#DIV/0!</v>
      </c>
      <c r="W269" s="453" t="e">
        <f t="shared" si="184"/>
        <v>#DIV/0!</v>
      </c>
      <c r="X269" s="454" t="e">
        <f t="shared" si="184"/>
        <v>#DIV/0!</v>
      </c>
      <c r="Y269" s="34"/>
      <c r="Z269" s="543"/>
      <c r="AA269" s="455" t="s">
        <v>109</v>
      </c>
      <c r="AB269" s="53" t="e">
        <f t="shared" si="182"/>
        <v>#DIV/0!</v>
      </c>
      <c r="AC269" s="53" t="e">
        <f t="shared" si="183"/>
        <v>#DIV/0!</v>
      </c>
      <c r="AD269" s="105" t="e">
        <f t="shared" si="185"/>
        <v>#DIV/0!</v>
      </c>
      <c r="AE269" s="122" t="e">
        <f t="shared" si="186"/>
        <v>#DIV/0!</v>
      </c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x14ac:dyDescent="0.25">
      <c r="B270" s="540"/>
      <c r="C270" s="42" t="s">
        <v>152</v>
      </c>
      <c r="D270" s="470"/>
      <c r="E270" s="470"/>
      <c r="F270" s="470"/>
      <c r="G270" s="470"/>
      <c r="H270" s="471"/>
      <c r="I270" s="4"/>
      <c r="J270" s="540"/>
      <c r="K270" s="42" t="s">
        <v>152</v>
      </c>
      <c r="L270" s="38" t="e">
        <f t="shared" si="181"/>
        <v>#DIV/0!</v>
      </c>
      <c r="M270" s="38" t="e">
        <f t="shared" si="177"/>
        <v>#DIV/0!</v>
      </c>
      <c r="N270" s="38" t="e">
        <f t="shared" si="178"/>
        <v>#DIV/0!</v>
      </c>
      <c r="O270" s="38" t="e">
        <f t="shared" si="179"/>
        <v>#DIV/0!</v>
      </c>
      <c r="P270" s="39" t="e">
        <f t="shared" si="180"/>
        <v>#DIV/0!</v>
      </c>
      <c r="Q270" s="4"/>
      <c r="R270" s="540"/>
      <c r="S270" s="42" t="s">
        <v>152</v>
      </c>
      <c r="T270" s="124" t="e">
        <f t="shared" si="184"/>
        <v>#DIV/0!</v>
      </c>
      <c r="U270" s="453" t="e">
        <f t="shared" si="184"/>
        <v>#DIV/0!</v>
      </c>
      <c r="V270" s="453" t="e">
        <f t="shared" si="184"/>
        <v>#DIV/0!</v>
      </c>
      <c r="W270" s="453" t="e">
        <f t="shared" si="184"/>
        <v>#DIV/0!</v>
      </c>
      <c r="X270" s="454" t="e">
        <f t="shared" si="184"/>
        <v>#DIV/0!</v>
      </c>
      <c r="Y270" s="34"/>
      <c r="Z270" s="543"/>
      <c r="AA270" s="455" t="s">
        <v>152</v>
      </c>
      <c r="AB270" s="53" t="e">
        <f t="shared" si="182"/>
        <v>#DIV/0!</v>
      </c>
      <c r="AC270" s="53" t="e">
        <f t="shared" si="183"/>
        <v>#DIV/0!</v>
      </c>
      <c r="AD270" s="105" t="e">
        <f t="shared" si="185"/>
        <v>#DIV/0!</v>
      </c>
      <c r="AE270" s="122" t="e">
        <f t="shared" si="186"/>
        <v>#DIV/0!</v>
      </c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 spans="1:52" ht="15.75" thickBot="1" x14ac:dyDescent="0.3">
      <c r="B271" s="540"/>
      <c r="C271" s="42" t="s">
        <v>153</v>
      </c>
      <c r="D271" s="470"/>
      <c r="E271" s="470"/>
      <c r="F271" s="470"/>
      <c r="G271" s="470"/>
      <c r="H271" s="471"/>
      <c r="I271" s="4"/>
      <c r="J271" s="540"/>
      <c r="K271" s="42" t="s">
        <v>153</v>
      </c>
      <c r="L271" s="38" t="e">
        <f t="shared" si="181"/>
        <v>#DIV/0!</v>
      </c>
      <c r="M271" s="38" t="e">
        <f t="shared" si="177"/>
        <v>#DIV/0!</v>
      </c>
      <c r="N271" s="40" t="e">
        <f t="shared" si="178"/>
        <v>#DIV/0!</v>
      </c>
      <c r="O271" s="38" t="e">
        <f t="shared" si="179"/>
        <v>#DIV/0!</v>
      </c>
      <c r="P271" s="39" t="e">
        <f t="shared" si="180"/>
        <v>#DIV/0!</v>
      </c>
      <c r="Q271" s="4"/>
      <c r="R271" s="540"/>
      <c r="S271" s="42" t="s">
        <v>153</v>
      </c>
      <c r="T271" s="124" t="e">
        <f t="shared" si="184"/>
        <v>#DIV/0!</v>
      </c>
      <c r="U271" s="453" t="e">
        <f t="shared" si="184"/>
        <v>#DIV/0!</v>
      </c>
      <c r="V271" s="453" t="e">
        <f t="shared" si="184"/>
        <v>#DIV/0!</v>
      </c>
      <c r="W271" s="453" t="e">
        <f t="shared" si="184"/>
        <v>#DIV/0!</v>
      </c>
      <c r="X271" s="454" t="e">
        <f t="shared" si="184"/>
        <v>#DIV/0!</v>
      </c>
      <c r="Y271" s="34"/>
      <c r="Z271" s="543"/>
      <c r="AA271" s="455" t="s">
        <v>153</v>
      </c>
      <c r="AB271" s="53" t="e">
        <f t="shared" si="182"/>
        <v>#DIV/0!</v>
      </c>
      <c r="AC271" s="53" t="e">
        <f>N271/P271</f>
        <v>#DIV/0!</v>
      </c>
      <c r="AD271" s="105" t="e">
        <f t="shared" si="185"/>
        <v>#DIV/0!</v>
      </c>
      <c r="AE271" s="122" t="e">
        <f t="shared" si="186"/>
        <v>#DIV/0!</v>
      </c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spans="1:52" ht="15.75" customHeight="1" x14ac:dyDescent="0.25">
      <c r="B272" s="539" t="s">
        <v>97</v>
      </c>
      <c r="C272" s="41" t="s">
        <v>107</v>
      </c>
      <c r="D272" s="468"/>
      <c r="E272" s="468"/>
      <c r="F272" s="468"/>
      <c r="G272" s="468"/>
      <c r="H272" s="469"/>
      <c r="I272" s="4"/>
      <c r="J272" s="539" t="s">
        <v>97</v>
      </c>
      <c r="K272" s="41" t="s">
        <v>107</v>
      </c>
      <c r="L272" s="36" t="e">
        <f t="shared" si="181"/>
        <v>#DIV/0!</v>
      </c>
      <c r="M272" s="36" t="e">
        <f t="shared" si="177"/>
        <v>#DIV/0!</v>
      </c>
      <c r="N272" s="36" t="e">
        <f t="shared" si="178"/>
        <v>#DIV/0!</v>
      </c>
      <c r="O272" s="36" t="e">
        <f t="shared" si="179"/>
        <v>#DIV/0!</v>
      </c>
      <c r="P272" s="37" t="e">
        <f t="shared" si="180"/>
        <v>#DIV/0!</v>
      </c>
      <c r="Q272" s="4"/>
      <c r="R272" s="539" t="s">
        <v>97</v>
      </c>
      <c r="S272" s="41" t="s">
        <v>107</v>
      </c>
      <c r="T272" s="123" t="e">
        <f t="shared" ref="T272:X276" si="187">100*(D272-D262)/D262</f>
        <v>#DIV/0!</v>
      </c>
      <c r="U272" s="449" t="e">
        <f t="shared" si="187"/>
        <v>#DIV/0!</v>
      </c>
      <c r="V272" s="449" t="e">
        <f t="shared" si="187"/>
        <v>#DIV/0!</v>
      </c>
      <c r="W272" s="449" t="e">
        <f t="shared" si="187"/>
        <v>#DIV/0!</v>
      </c>
      <c r="X272" s="450" t="e">
        <f t="shared" si="187"/>
        <v>#DIV/0!</v>
      </c>
      <c r="Y272" s="34"/>
      <c r="Z272" s="542" t="s">
        <v>97</v>
      </c>
      <c r="AA272" s="451" t="s">
        <v>107</v>
      </c>
      <c r="AB272" s="48" t="e">
        <f t="shared" si="182"/>
        <v>#DIV/0!</v>
      </c>
      <c r="AC272" s="48" t="e">
        <f t="shared" si="183"/>
        <v>#DIV/0!</v>
      </c>
      <c r="AD272" s="102" t="e">
        <f>100*(AB272-AB262)/AB262</f>
        <v>#DIV/0!</v>
      </c>
      <c r="AE272" s="452" t="e">
        <f>100*(AC272-AC262)/AC262</f>
        <v>#DIV/0!</v>
      </c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 spans="2:46" x14ac:dyDescent="0.25">
      <c r="B273" s="540"/>
      <c r="C273" s="42" t="s">
        <v>108</v>
      </c>
      <c r="D273" s="470"/>
      <c r="E273" s="470"/>
      <c r="F273" s="470"/>
      <c r="G273" s="470"/>
      <c r="H273" s="471"/>
      <c r="I273" s="4"/>
      <c r="J273" s="540"/>
      <c r="K273" s="42" t="s">
        <v>108</v>
      </c>
      <c r="L273" s="38" t="e">
        <f t="shared" si="181"/>
        <v>#DIV/0!</v>
      </c>
      <c r="M273" s="38" t="e">
        <f t="shared" si="177"/>
        <v>#DIV/0!</v>
      </c>
      <c r="N273" s="38" t="e">
        <f t="shared" si="178"/>
        <v>#DIV/0!</v>
      </c>
      <c r="O273" s="38" t="e">
        <f t="shared" si="179"/>
        <v>#DIV/0!</v>
      </c>
      <c r="P273" s="39" t="e">
        <f t="shared" si="180"/>
        <v>#DIV/0!</v>
      </c>
      <c r="Q273" s="4"/>
      <c r="R273" s="540"/>
      <c r="S273" s="42" t="s">
        <v>108</v>
      </c>
      <c r="T273" s="124" t="e">
        <f t="shared" si="187"/>
        <v>#DIV/0!</v>
      </c>
      <c r="U273" s="453" t="e">
        <f t="shared" si="187"/>
        <v>#DIV/0!</v>
      </c>
      <c r="V273" s="453" t="e">
        <f t="shared" si="187"/>
        <v>#DIV/0!</v>
      </c>
      <c r="W273" s="453" t="e">
        <f t="shared" si="187"/>
        <v>#DIV/0!</v>
      </c>
      <c r="X273" s="454" t="e">
        <f t="shared" si="187"/>
        <v>#DIV/0!</v>
      </c>
      <c r="Y273" s="34"/>
      <c r="Z273" s="543"/>
      <c r="AA273" s="455" t="s">
        <v>108</v>
      </c>
      <c r="AB273" s="53" t="e">
        <f t="shared" si="182"/>
        <v>#DIV/0!</v>
      </c>
      <c r="AC273" s="53" t="e">
        <f t="shared" si="183"/>
        <v>#DIV/0!</v>
      </c>
      <c r="AD273" s="105" t="e">
        <f t="shared" ref="AD273:AD276" si="188">100*(AB273-AB263)/AB263</f>
        <v>#DIV/0!</v>
      </c>
      <c r="AE273" s="122" t="e">
        <f t="shared" ref="AE273:AE276" si="189">100*(AC273-AC263)/AC263</f>
        <v>#DIV/0!</v>
      </c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</row>
    <row r="274" spans="2:46" x14ac:dyDescent="0.25">
      <c r="B274" s="540"/>
      <c r="C274" s="42" t="s">
        <v>109</v>
      </c>
      <c r="D274" s="470"/>
      <c r="E274" s="470"/>
      <c r="F274" s="470"/>
      <c r="G274" s="470"/>
      <c r="H274" s="471"/>
      <c r="I274" s="4"/>
      <c r="J274" s="540"/>
      <c r="K274" s="42" t="s">
        <v>109</v>
      </c>
      <c r="L274" s="38" t="e">
        <f t="shared" si="181"/>
        <v>#DIV/0!</v>
      </c>
      <c r="M274" s="38" t="e">
        <f t="shared" si="177"/>
        <v>#DIV/0!</v>
      </c>
      <c r="N274" s="38" t="e">
        <f t="shared" si="178"/>
        <v>#DIV/0!</v>
      </c>
      <c r="O274" s="38" t="e">
        <f t="shared" si="179"/>
        <v>#DIV/0!</v>
      </c>
      <c r="P274" s="39" t="e">
        <f t="shared" si="180"/>
        <v>#DIV/0!</v>
      </c>
      <c r="Q274" s="4"/>
      <c r="R274" s="540"/>
      <c r="S274" s="42" t="s">
        <v>109</v>
      </c>
      <c r="T274" s="124" t="e">
        <f t="shared" si="187"/>
        <v>#DIV/0!</v>
      </c>
      <c r="U274" s="453" t="e">
        <f t="shared" si="187"/>
        <v>#DIV/0!</v>
      </c>
      <c r="V274" s="453" t="e">
        <f t="shared" si="187"/>
        <v>#DIV/0!</v>
      </c>
      <c r="W274" s="453" t="e">
        <f t="shared" si="187"/>
        <v>#DIV/0!</v>
      </c>
      <c r="X274" s="454" t="e">
        <f t="shared" si="187"/>
        <v>#DIV/0!</v>
      </c>
      <c r="Y274" s="34"/>
      <c r="Z274" s="543"/>
      <c r="AA274" s="455" t="s">
        <v>109</v>
      </c>
      <c r="AB274" s="53" t="e">
        <f t="shared" si="182"/>
        <v>#DIV/0!</v>
      </c>
      <c r="AC274" s="53" t="e">
        <f t="shared" si="183"/>
        <v>#DIV/0!</v>
      </c>
      <c r="AD274" s="105" t="e">
        <f t="shared" si="188"/>
        <v>#DIV/0!</v>
      </c>
      <c r="AE274" s="122" t="e">
        <f t="shared" si="189"/>
        <v>#DIV/0!</v>
      </c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</row>
    <row r="275" spans="2:46" x14ac:dyDescent="0.25">
      <c r="B275" s="540"/>
      <c r="C275" s="42" t="s">
        <v>152</v>
      </c>
      <c r="D275" s="470"/>
      <c r="E275" s="470"/>
      <c r="F275" s="470"/>
      <c r="G275" s="470"/>
      <c r="H275" s="471"/>
      <c r="I275" s="4"/>
      <c r="J275" s="540"/>
      <c r="K275" s="42" t="s">
        <v>152</v>
      </c>
      <c r="L275" s="38" t="e">
        <f t="shared" si="181"/>
        <v>#DIV/0!</v>
      </c>
      <c r="M275" s="38" t="e">
        <f t="shared" si="177"/>
        <v>#DIV/0!</v>
      </c>
      <c r="N275" s="38" t="e">
        <f t="shared" si="178"/>
        <v>#DIV/0!</v>
      </c>
      <c r="O275" s="38" t="e">
        <f t="shared" si="179"/>
        <v>#DIV/0!</v>
      </c>
      <c r="P275" s="39" t="e">
        <f t="shared" si="180"/>
        <v>#DIV/0!</v>
      </c>
      <c r="Q275" s="4"/>
      <c r="R275" s="540"/>
      <c r="S275" s="42" t="s">
        <v>152</v>
      </c>
      <c r="T275" s="124" t="e">
        <f t="shared" si="187"/>
        <v>#DIV/0!</v>
      </c>
      <c r="U275" s="453" t="e">
        <f t="shared" si="187"/>
        <v>#DIV/0!</v>
      </c>
      <c r="V275" s="453" t="e">
        <f t="shared" si="187"/>
        <v>#DIV/0!</v>
      </c>
      <c r="W275" s="453" t="e">
        <f t="shared" si="187"/>
        <v>#DIV/0!</v>
      </c>
      <c r="X275" s="454" t="e">
        <f t="shared" si="187"/>
        <v>#DIV/0!</v>
      </c>
      <c r="Y275" s="34"/>
      <c r="Z275" s="543"/>
      <c r="AA275" s="455" t="s">
        <v>152</v>
      </c>
      <c r="AB275" s="53" t="e">
        <f t="shared" si="182"/>
        <v>#DIV/0!</v>
      </c>
      <c r="AC275" s="53" t="e">
        <f t="shared" si="183"/>
        <v>#DIV/0!</v>
      </c>
      <c r="AD275" s="105" t="e">
        <f t="shared" si="188"/>
        <v>#DIV/0!</v>
      </c>
      <c r="AE275" s="122" t="e">
        <f t="shared" si="189"/>
        <v>#DIV/0!</v>
      </c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</row>
    <row r="276" spans="2:46" ht="15.75" thickBot="1" x14ac:dyDescent="0.3">
      <c r="B276" s="540"/>
      <c r="C276" s="42" t="s">
        <v>153</v>
      </c>
      <c r="D276" s="470"/>
      <c r="E276" s="470"/>
      <c r="F276" s="470"/>
      <c r="G276" s="470"/>
      <c r="H276" s="471"/>
      <c r="I276" s="4"/>
      <c r="J276" s="540"/>
      <c r="K276" s="42" t="s">
        <v>153</v>
      </c>
      <c r="L276" s="38" t="e">
        <f t="shared" si="181"/>
        <v>#DIV/0!</v>
      </c>
      <c r="M276" s="38" t="e">
        <f t="shared" si="177"/>
        <v>#DIV/0!</v>
      </c>
      <c r="N276" s="40" t="e">
        <f t="shared" si="178"/>
        <v>#DIV/0!</v>
      </c>
      <c r="O276" s="38" t="e">
        <f t="shared" si="179"/>
        <v>#DIV/0!</v>
      </c>
      <c r="P276" s="39" t="e">
        <f t="shared" si="180"/>
        <v>#DIV/0!</v>
      </c>
      <c r="Q276" s="4"/>
      <c r="R276" s="540"/>
      <c r="S276" s="42" t="s">
        <v>153</v>
      </c>
      <c r="T276" s="124" t="e">
        <f t="shared" si="187"/>
        <v>#DIV/0!</v>
      </c>
      <c r="U276" s="453" t="e">
        <f t="shared" si="187"/>
        <v>#DIV/0!</v>
      </c>
      <c r="V276" s="453" t="e">
        <f t="shared" si="187"/>
        <v>#DIV/0!</v>
      </c>
      <c r="W276" s="453" t="e">
        <f t="shared" si="187"/>
        <v>#DIV/0!</v>
      </c>
      <c r="X276" s="454" t="e">
        <f t="shared" si="187"/>
        <v>#DIV/0!</v>
      </c>
      <c r="Y276" s="34"/>
      <c r="Z276" s="544"/>
      <c r="AA276" s="455" t="s">
        <v>153</v>
      </c>
      <c r="AB276" s="59" t="e">
        <f t="shared" si="182"/>
        <v>#DIV/0!</v>
      </c>
      <c r="AC276" s="59" t="e">
        <f t="shared" si="183"/>
        <v>#DIV/0!</v>
      </c>
      <c r="AD276" s="108" t="e">
        <f t="shared" si="188"/>
        <v>#DIV/0!</v>
      </c>
      <c r="AE276" s="456" t="e">
        <f t="shared" si="189"/>
        <v>#DIV/0!</v>
      </c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</row>
    <row r="277" spans="2:46" ht="15" customHeight="1" x14ac:dyDescent="0.25">
      <c r="B277" s="539" t="s">
        <v>98</v>
      </c>
      <c r="C277" s="41" t="s">
        <v>107</v>
      </c>
      <c r="D277" s="468"/>
      <c r="E277" s="468"/>
      <c r="F277" s="468"/>
      <c r="G277" s="468"/>
      <c r="H277" s="469"/>
      <c r="I277" s="4"/>
      <c r="J277" s="539" t="s">
        <v>98</v>
      </c>
      <c r="K277" s="41" t="s">
        <v>107</v>
      </c>
      <c r="L277" s="36" t="e">
        <f t="shared" si="181"/>
        <v>#DIV/0!</v>
      </c>
      <c r="M277" s="36" t="e">
        <f t="shared" si="177"/>
        <v>#DIV/0!</v>
      </c>
      <c r="N277" s="36" t="e">
        <f t="shared" si="178"/>
        <v>#DIV/0!</v>
      </c>
      <c r="O277" s="36" t="e">
        <f t="shared" si="179"/>
        <v>#DIV/0!</v>
      </c>
      <c r="P277" s="37" t="e">
        <f t="shared" si="180"/>
        <v>#DIV/0!</v>
      </c>
      <c r="Q277" s="4"/>
      <c r="R277" s="539" t="s">
        <v>98</v>
      </c>
      <c r="S277" s="41" t="s">
        <v>107</v>
      </c>
      <c r="T277" s="123" t="e">
        <f t="shared" ref="T277:X281" si="190">100*(D277-D262)/D262</f>
        <v>#DIV/0!</v>
      </c>
      <c r="U277" s="449" t="e">
        <f t="shared" si="190"/>
        <v>#DIV/0!</v>
      </c>
      <c r="V277" s="449" t="e">
        <f t="shared" si="190"/>
        <v>#DIV/0!</v>
      </c>
      <c r="W277" s="449" t="e">
        <f t="shared" si="190"/>
        <v>#DIV/0!</v>
      </c>
      <c r="X277" s="450" t="e">
        <f t="shared" si="190"/>
        <v>#DIV/0!</v>
      </c>
      <c r="Y277" s="34"/>
      <c r="Z277" s="542" t="s">
        <v>98</v>
      </c>
      <c r="AA277" s="451" t="s">
        <v>107</v>
      </c>
      <c r="AB277" s="48" t="e">
        <f t="shared" si="182"/>
        <v>#DIV/0!</v>
      </c>
      <c r="AC277" s="48" t="e">
        <f t="shared" si="183"/>
        <v>#DIV/0!</v>
      </c>
      <c r="AD277" s="102" t="e">
        <f>100*(AB277-AB262)/AB262</f>
        <v>#DIV/0!</v>
      </c>
      <c r="AE277" s="452" t="e">
        <f>100*(AC277-AC262)/AC262</f>
        <v>#DIV/0!</v>
      </c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</row>
    <row r="278" spans="2:46" x14ac:dyDescent="0.25">
      <c r="B278" s="540"/>
      <c r="C278" s="42" t="s">
        <v>108</v>
      </c>
      <c r="D278" s="470"/>
      <c r="E278" s="470"/>
      <c r="F278" s="470"/>
      <c r="G278" s="470"/>
      <c r="H278" s="471"/>
      <c r="I278" s="4"/>
      <c r="J278" s="540"/>
      <c r="K278" s="42" t="s">
        <v>108</v>
      </c>
      <c r="L278" s="38" t="e">
        <f t="shared" si="181"/>
        <v>#DIV/0!</v>
      </c>
      <c r="M278" s="38" t="e">
        <f t="shared" si="177"/>
        <v>#DIV/0!</v>
      </c>
      <c r="N278" s="38" t="e">
        <f t="shared" si="178"/>
        <v>#DIV/0!</v>
      </c>
      <c r="O278" s="38" t="e">
        <f t="shared" si="179"/>
        <v>#DIV/0!</v>
      </c>
      <c r="P278" s="39" t="e">
        <f t="shared" si="180"/>
        <v>#DIV/0!</v>
      </c>
      <c r="Q278" s="4"/>
      <c r="R278" s="540"/>
      <c r="S278" s="42" t="s">
        <v>108</v>
      </c>
      <c r="T278" s="124" t="e">
        <f t="shared" si="190"/>
        <v>#DIV/0!</v>
      </c>
      <c r="U278" s="453" t="e">
        <f t="shared" si="190"/>
        <v>#DIV/0!</v>
      </c>
      <c r="V278" s="453" t="e">
        <f t="shared" si="190"/>
        <v>#DIV/0!</v>
      </c>
      <c r="W278" s="453" t="e">
        <f t="shared" si="190"/>
        <v>#DIV/0!</v>
      </c>
      <c r="X278" s="454" t="e">
        <f t="shared" si="190"/>
        <v>#DIV/0!</v>
      </c>
      <c r="Y278" s="34"/>
      <c r="Z278" s="543"/>
      <c r="AA278" s="455" t="s">
        <v>108</v>
      </c>
      <c r="AB278" s="53" t="e">
        <f t="shared" si="182"/>
        <v>#DIV/0!</v>
      </c>
      <c r="AC278" s="53" t="e">
        <f t="shared" si="183"/>
        <v>#DIV/0!</v>
      </c>
      <c r="AD278" s="105" t="e">
        <f t="shared" ref="AD278:AD281" si="191">100*(AB278-AB263)/AB263</f>
        <v>#DIV/0!</v>
      </c>
      <c r="AE278" s="122" t="e">
        <f t="shared" ref="AE278:AE281" si="192">100*(AC278-AC263)/AC263</f>
        <v>#DIV/0!</v>
      </c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spans="2:46" x14ac:dyDescent="0.25">
      <c r="B279" s="540"/>
      <c r="C279" s="42" t="s">
        <v>109</v>
      </c>
      <c r="D279" s="470"/>
      <c r="E279" s="470"/>
      <c r="F279" s="470"/>
      <c r="G279" s="470"/>
      <c r="H279" s="471"/>
      <c r="I279" s="4"/>
      <c r="J279" s="540"/>
      <c r="K279" s="42" t="s">
        <v>109</v>
      </c>
      <c r="L279" s="38" t="e">
        <f t="shared" si="181"/>
        <v>#DIV/0!</v>
      </c>
      <c r="M279" s="38" t="e">
        <f t="shared" si="177"/>
        <v>#DIV/0!</v>
      </c>
      <c r="N279" s="38" t="e">
        <f t="shared" si="178"/>
        <v>#DIV/0!</v>
      </c>
      <c r="O279" s="38" t="e">
        <f t="shared" si="179"/>
        <v>#DIV/0!</v>
      </c>
      <c r="P279" s="39" t="e">
        <f t="shared" si="180"/>
        <v>#DIV/0!</v>
      </c>
      <c r="Q279" s="4"/>
      <c r="R279" s="540"/>
      <c r="S279" s="42" t="s">
        <v>109</v>
      </c>
      <c r="T279" s="124" t="e">
        <f t="shared" si="190"/>
        <v>#DIV/0!</v>
      </c>
      <c r="U279" s="453" t="e">
        <f t="shared" si="190"/>
        <v>#DIV/0!</v>
      </c>
      <c r="V279" s="453" t="e">
        <f t="shared" si="190"/>
        <v>#DIV/0!</v>
      </c>
      <c r="W279" s="453" t="e">
        <f t="shared" si="190"/>
        <v>#DIV/0!</v>
      </c>
      <c r="X279" s="454" t="e">
        <f t="shared" si="190"/>
        <v>#DIV/0!</v>
      </c>
      <c r="Y279" s="34"/>
      <c r="Z279" s="543"/>
      <c r="AA279" s="455" t="s">
        <v>109</v>
      </c>
      <c r="AB279" s="53" t="e">
        <f t="shared" si="182"/>
        <v>#DIV/0!</v>
      </c>
      <c r="AC279" s="53" t="e">
        <f t="shared" si="183"/>
        <v>#DIV/0!</v>
      </c>
      <c r="AD279" s="105" t="e">
        <f t="shared" si="191"/>
        <v>#DIV/0!</v>
      </c>
      <c r="AE279" s="122" t="e">
        <f t="shared" si="192"/>
        <v>#DIV/0!</v>
      </c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</row>
    <row r="280" spans="2:46" x14ac:dyDescent="0.25">
      <c r="B280" s="540"/>
      <c r="C280" s="42" t="s">
        <v>152</v>
      </c>
      <c r="D280" s="470"/>
      <c r="E280" s="470"/>
      <c r="F280" s="470"/>
      <c r="G280" s="470"/>
      <c r="H280" s="471"/>
      <c r="I280" s="4"/>
      <c r="J280" s="540"/>
      <c r="K280" s="42" t="s">
        <v>152</v>
      </c>
      <c r="L280" s="38" t="e">
        <f t="shared" si="181"/>
        <v>#DIV/0!</v>
      </c>
      <c r="M280" s="38" t="e">
        <f t="shared" si="177"/>
        <v>#DIV/0!</v>
      </c>
      <c r="N280" s="38" t="e">
        <f t="shared" si="178"/>
        <v>#DIV/0!</v>
      </c>
      <c r="O280" s="38" t="e">
        <f t="shared" si="179"/>
        <v>#DIV/0!</v>
      </c>
      <c r="P280" s="39" t="e">
        <f t="shared" si="180"/>
        <v>#DIV/0!</v>
      </c>
      <c r="Q280" s="4"/>
      <c r="R280" s="540"/>
      <c r="S280" s="42" t="s">
        <v>152</v>
      </c>
      <c r="T280" s="124" t="e">
        <f t="shared" si="190"/>
        <v>#DIV/0!</v>
      </c>
      <c r="U280" s="453" t="e">
        <f t="shared" si="190"/>
        <v>#DIV/0!</v>
      </c>
      <c r="V280" s="453" t="e">
        <f t="shared" si="190"/>
        <v>#DIV/0!</v>
      </c>
      <c r="W280" s="453" t="e">
        <f t="shared" si="190"/>
        <v>#DIV/0!</v>
      </c>
      <c r="X280" s="454" t="e">
        <f t="shared" si="190"/>
        <v>#DIV/0!</v>
      </c>
      <c r="Y280" s="34"/>
      <c r="Z280" s="543"/>
      <c r="AA280" s="455" t="s">
        <v>152</v>
      </c>
      <c r="AB280" s="53" t="e">
        <f t="shared" si="182"/>
        <v>#DIV/0!</v>
      </c>
      <c r="AC280" s="53" t="e">
        <f t="shared" si="183"/>
        <v>#DIV/0!</v>
      </c>
      <c r="AD280" s="105" t="e">
        <f t="shared" si="191"/>
        <v>#DIV/0!</v>
      </c>
      <c r="AE280" s="122" t="e">
        <f t="shared" si="192"/>
        <v>#DIV/0!</v>
      </c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spans="2:46" ht="15.75" thickBot="1" x14ac:dyDescent="0.3">
      <c r="B281" s="541"/>
      <c r="C281" s="54" t="s">
        <v>153</v>
      </c>
      <c r="D281" s="472"/>
      <c r="E281" s="472"/>
      <c r="F281" s="472"/>
      <c r="G281" s="472"/>
      <c r="H281" s="473"/>
      <c r="I281" s="4"/>
      <c r="J281" s="541"/>
      <c r="K281" s="54" t="s">
        <v>153</v>
      </c>
      <c r="L281" s="60" t="e">
        <f t="shared" si="181"/>
        <v>#DIV/0!</v>
      </c>
      <c r="M281" s="60" t="e">
        <f t="shared" si="177"/>
        <v>#DIV/0!</v>
      </c>
      <c r="N281" s="121" t="e">
        <f t="shared" si="178"/>
        <v>#DIV/0!</v>
      </c>
      <c r="O281" s="60" t="e">
        <f t="shared" si="179"/>
        <v>#DIV/0!</v>
      </c>
      <c r="P281" s="61" t="e">
        <f t="shared" si="180"/>
        <v>#DIV/0!</v>
      </c>
      <c r="Q281" s="4"/>
      <c r="R281" s="541"/>
      <c r="S281" s="54" t="s">
        <v>153</v>
      </c>
      <c r="T281" s="125" t="e">
        <f t="shared" si="190"/>
        <v>#DIV/0!</v>
      </c>
      <c r="U281" s="457" t="e">
        <f t="shared" si="190"/>
        <v>#DIV/0!</v>
      </c>
      <c r="V281" s="457" t="e">
        <f t="shared" si="190"/>
        <v>#DIV/0!</v>
      </c>
      <c r="W281" s="457" t="e">
        <f t="shared" si="190"/>
        <v>#DIV/0!</v>
      </c>
      <c r="X281" s="458" t="e">
        <f t="shared" si="190"/>
        <v>#DIV/0!</v>
      </c>
      <c r="Y281" s="34"/>
      <c r="Z281" s="544"/>
      <c r="AA281" s="459" t="s">
        <v>153</v>
      </c>
      <c r="AB281" s="59" t="e">
        <f t="shared" si="182"/>
        <v>#DIV/0!</v>
      </c>
      <c r="AC281" s="59" t="e">
        <f t="shared" si="183"/>
        <v>#DIV/0!</v>
      </c>
      <c r="AD281" s="108" t="e">
        <f t="shared" si="191"/>
        <v>#DIV/0!</v>
      </c>
      <c r="AE281" s="456" t="e">
        <f t="shared" si="192"/>
        <v>#DIV/0!</v>
      </c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</row>
    <row r="282" spans="2:46" x14ac:dyDescent="0.25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 spans="2:46" x14ac:dyDescent="0.25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 spans="2:46" x14ac:dyDescent="0.25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 spans="2:46" x14ac:dyDescent="0.2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</row>
    <row r="286" spans="2:46" x14ac:dyDescent="0.25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</row>
    <row r="287" spans="2:46" x14ac:dyDescent="0.25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</row>
    <row r="288" spans="2:46" x14ac:dyDescent="0.25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</row>
    <row r="289" spans="2:46" x14ac:dyDescent="0.25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</row>
    <row r="290" spans="2:46" x14ac:dyDescent="0.25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</row>
    <row r="291" spans="2:46" x14ac:dyDescent="0.25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 spans="2:46" x14ac:dyDescent="0.25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 spans="2:46" x14ac:dyDescent="0.25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</row>
    <row r="294" spans="2:46" x14ac:dyDescent="0.25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spans="2:46" x14ac:dyDescent="0.2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</row>
    <row r="296" spans="2:46" x14ac:dyDescent="0.25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</row>
    <row r="297" spans="2:46" x14ac:dyDescent="0.25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</row>
    <row r="298" spans="2:46" x14ac:dyDescent="0.25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 spans="2:46" x14ac:dyDescent="0.25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</row>
    <row r="300" spans="2:46" x14ac:dyDescent="0.25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</row>
    <row r="301" spans="2:46" x14ac:dyDescent="0.25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</row>
    <row r="302" spans="2:46" x14ac:dyDescent="0.25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</row>
    <row r="303" spans="2:46" x14ac:dyDescent="0.25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</row>
    <row r="304" spans="2:46" x14ac:dyDescent="0.25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</row>
    <row r="305" spans="1:46" x14ac:dyDescent="0.2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 spans="1:46" x14ac:dyDescent="0.25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spans="1:46" x14ac:dyDescent="0.25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</row>
    <row r="308" spans="1:46" x14ac:dyDescent="0.25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</row>
    <row r="309" spans="1:46" x14ac:dyDescent="0.25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</row>
    <row r="310" spans="1:46" x14ac:dyDescent="0.25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</row>
    <row r="311" spans="1:46" x14ac:dyDescent="0.25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</row>
    <row r="312" spans="1:46" x14ac:dyDescent="0.25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</row>
    <row r="313" spans="1:46" x14ac:dyDescent="0.25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</row>
    <row r="314" spans="1:46" x14ac:dyDescent="0.25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</row>
    <row r="315" spans="1:46" x14ac:dyDescent="0.2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</row>
    <row r="316" spans="1:4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</row>
    <row r="317" spans="1:4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</row>
    <row r="318" spans="1:4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</row>
    <row r="319" spans="1:4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</row>
    <row r="320" spans="1:4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</row>
    <row r="321" spans="1:4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</row>
    <row r="322" spans="1:4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</row>
    <row r="323" spans="1:4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</row>
    <row r="324" spans="1:4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</row>
    <row r="325" spans="1:4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</row>
    <row r="326" spans="1:4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</row>
    <row r="327" spans="1:4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</row>
    <row r="328" spans="1:4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</row>
    <row r="329" spans="1:4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</row>
    <row r="330" spans="1:4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</row>
    <row r="331" spans="1:4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</row>
    <row r="332" spans="1:4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spans="1:4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</row>
    <row r="334" spans="1:4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</row>
    <row r="335" spans="1:4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</row>
    <row r="336" spans="1:4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</row>
    <row r="337" spans="1:4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</row>
    <row r="338" spans="1:4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</row>
    <row r="339" spans="1:4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</row>
    <row r="340" spans="1:4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</row>
    <row r="341" spans="1:4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</row>
    <row r="342" spans="1:4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</row>
    <row r="343" spans="1:4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</row>
    <row r="344" spans="1:4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</row>
    <row r="345" spans="1:4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</row>
    <row r="346" spans="1:4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spans="1:4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spans="1:4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spans="1:4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</row>
    <row r="350" spans="1:4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</row>
    <row r="351" spans="1:4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spans="1:4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</row>
    <row r="353" spans="1:4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</row>
    <row r="354" spans="1:4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</row>
    <row r="355" spans="1:4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</row>
    <row r="356" spans="1:4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</row>
    <row r="357" spans="1:4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 spans="1:4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</row>
    <row r="359" spans="1:4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</row>
    <row r="360" spans="1:4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</row>
    <row r="361" spans="1:4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</row>
    <row r="362" spans="1:4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</row>
    <row r="363" spans="1:4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</row>
    <row r="364" spans="1:4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</row>
    <row r="365" spans="1:4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</row>
    <row r="366" spans="1:4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</row>
    <row r="367" spans="1:4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</row>
    <row r="368" spans="1:4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</row>
    <row r="369" spans="1:4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</row>
    <row r="370" spans="1:4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</row>
    <row r="371" spans="1:4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</row>
    <row r="372" spans="1:4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</row>
    <row r="373" spans="1:4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</row>
    <row r="374" spans="1:4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</row>
    <row r="375" spans="1:4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</row>
    <row r="376" spans="1:4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</row>
    <row r="377" spans="1:4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</row>
    <row r="378" spans="1:4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</row>
    <row r="379" spans="1:4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</row>
    <row r="380" spans="1:4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</row>
    <row r="381" spans="1:4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</row>
    <row r="382" spans="1:4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</row>
    <row r="383" spans="1:4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</row>
    <row r="384" spans="1:4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</row>
    <row r="385" spans="1:4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</row>
    <row r="386" spans="1:4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 spans="1:4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 spans="1:4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</row>
    <row r="389" spans="1:4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</row>
    <row r="390" spans="1:4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</row>
    <row r="391" spans="1:4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</row>
    <row r="392" spans="1:4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</row>
    <row r="393" spans="1:4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</row>
    <row r="394" spans="1:4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</row>
    <row r="395" spans="1:4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</row>
    <row r="396" spans="1:4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</row>
    <row r="397" spans="1:4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</row>
    <row r="398" spans="1:4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</row>
    <row r="399" spans="1:4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</row>
    <row r="400" spans="1:4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spans="1:4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</row>
    <row r="402" spans="1:4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</row>
    <row r="403" spans="1:4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</row>
    <row r="404" spans="1:4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</row>
    <row r="405" spans="1:4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 spans="1:4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</row>
    <row r="407" spans="1:4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</row>
    <row r="408" spans="1:4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</row>
    <row r="409" spans="1:4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</row>
    <row r="410" spans="1:4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</row>
    <row r="411" spans="1:4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</row>
    <row r="412" spans="1:4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</row>
    <row r="413" spans="1:4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</row>
    <row r="414" spans="1:4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</row>
    <row r="415" spans="1:4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</row>
    <row r="416" spans="1:4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</row>
    <row r="417" spans="1:4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</row>
    <row r="418" spans="1:4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</row>
    <row r="419" spans="1:4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</row>
    <row r="420" spans="1:4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</row>
    <row r="421" spans="1:4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</row>
    <row r="422" spans="1:4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</row>
    <row r="423" spans="1:4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</row>
    <row r="424" spans="1:4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</row>
    <row r="425" spans="1:4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</row>
    <row r="426" spans="1:4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</row>
    <row r="427" spans="1:4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</row>
    <row r="428" spans="1:4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</row>
    <row r="429" spans="1:4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</row>
    <row r="430" spans="1:4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</row>
    <row r="431" spans="1:4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</row>
    <row r="432" spans="1:4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</row>
    <row r="433" spans="1:4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</row>
    <row r="434" spans="1:4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</row>
    <row r="435" spans="1:4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</row>
    <row r="436" spans="1:4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</row>
    <row r="437" spans="1:4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</row>
    <row r="438" spans="1:4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</row>
    <row r="439" spans="1:4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</row>
    <row r="440" spans="1:4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</row>
    <row r="441" spans="1:4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</row>
    <row r="442" spans="1:4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</row>
    <row r="443" spans="1:4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</row>
    <row r="444" spans="1:4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</row>
    <row r="445" spans="1:4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</row>
    <row r="446" spans="1:4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</row>
    <row r="447" spans="1:4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</row>
    <row r="448" spans="1:4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</row>
    <row r="449" spans="1:4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</row>
    <row r="450" spans="1:4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</row>
    <row r="451" spans="1:4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</row>
    <row r="452" spans="1:4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</row>
    <row r="453" spans="1:4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</row>
    <row r="454" spans="1:4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</row>
    <row r="455" spans="1:4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</row>
    <row r="456" spans="1:4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</row>
    <row r="457" spans="1:4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</row>
    <row r="458" spans="1:4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</row>
    <row r="459" spans="1:4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</row>
    <row r="460" spans="1:4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</row>
    <row r="461" spans="1:4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</row>
    <row r="462" spans="1:4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</row>
    <row r="463" spans="1:4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</row>
    <row r="464" spans="1:46" x14ac:dyDescent="0.25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</row>
    <row r="465" spans="2:46" x14ac:dyDescent="0.2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</row>
    <row r="466" spans="2:46" x14ac:dyDescent="0.25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</row>
    <row r="467" spans="2:46" x14ac:dyDescent="0.25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</row>
    <row r="468" spans="2:46" x14ac:dyDescent="0.25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</row>
    <row r="469" spans="2:46" x14ac:dyDescent="0.25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</row>
    <row r="470" spans="2:46" x14ac:dyDescent="0.25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</row>
  </sheetData>
  <mergeCells count="138">
    <mergeCell ref="B54:B62"/>
    <mergeCell ref="D54:D56"/>
    <mergeCell ref="D57:D59"/>
    <mergeCell ref="D60:D62"/>
    <mergeCell ref="B72:B74"/>
    <mergeCell ref="C72:F72"/>
    <mergeCell ref="G72:J72"/>
    <mergeCell ref="K72:N72"/>
    <mergeCell ref="C73:D73"/>
    <mergeCell ref="E73:F73"/>
    <mergeCell ref="G73:H73"/>
    <mergeCell ref="I73:J73"/>
    <mergeCell ref="K73:L73"/>
    <mergeCell ref="M73:N73"/>
    <mergeCell ref="B27:B35"/>
    <mergeCell ref="D27:D29"/>
    <mergeCell ref="D30:D32"/>
    <mergeCell ref="D33:D35"/>
    <mergeCell ref="B36:B44"/>
    <mergeCell ref="D36:D38"/>
    <mergeCell ref="D39:D41"/>
    <mergeCell ref="D42:D44"/>
    <mergeCell ref="B45:B53"/>
    <mergeCell ref="D45:D47"/>
    <mergeCell ref="D48:D50"/>
    <mergeCell ref="D51:D53"/>
    <mergeCell ref="G16:H16"/>
    <mergeCell ref="I16:J16"/>
    <mergeCell ref="K16:L16"/>
    <mergeCell ref="M16:N16"/>
    <mergeCell ref="O16:P16"/>
    <mergeCell ref="B18:B26"/>
    <mergeCell ref="D18:D20"/>
    <mergeCell ref="D21:D23"/>
    <mergeCell ref="D24:D26"/>
    <mergeCell ref="B267:B271"/>
    <mergeCell ref="B272:B276"/>
    <mergeCell ref="B277:B281"/>
    <mergeCell ref="Z247:Z251"/>
    <mergeCell ref="Z252:Z256"/>
    <mergeCell ref="J267:J271"/>
    <mergeCell ref="J272:J276"/>
    <mergeCell ref="J277:J281"/>
    <mergeCell ref="R267:R271"/>
    <mergeCell ref="R272:R276"/>
    <mergeCell ref="R277:R281"/>
    <mergeCell ref="R252:R256"/>
    <mergeCell ref="Z277:Z281"/>
    <mergeCell ref="Z262:Z266"/>
    <mergeCell ref="Z267:Z271"/>
    <mergeCell ref="Z272:Z276"/>
    <mergeCell ref="B260:H260"/>
    <mergeCell ref="J260:P260"/>
    <mergeCell ref="J262:J266"/>
    <mergeCell ref="R262:R266"/>
    <mergeCell ref="B262:B266"/>
    <mergeCell ref="AD235:AE235"/>
    <mergeCell ref="Z237:Z241"/>
    <mergeCell ref="Z242:Z246"/>
    <mergeCell ref="Z260:AA260"/>
    <mergeCell ref="R237:R241"/>
    <mergeCell ref="R242:R246"/>
    <mergeCell ref="R247:R251"/>
    <mergeCell ref="AB260:AC260"/>
    <mergeCell ref="AD260:AE260"/>
    <mergeCell ref="R235:X235"/>
    <mergeCell ref="R260:X260"/>
    <mergeCell ref="AB235:AC235"/>
    <mergeCell ref="J235:P235"/>
    <mergeCell ref="J237:J241"/>
    <mergeCell ref="J242:J246"/>
    <mergeCell ref="J247:J251"/>
    <mergeCell ref="J252:J256"/>
    <mergeCell ref="B235:H235"/>
    <mergeCell ref="B252:B256"/>
    <mergeCell ref="B237:B241"/>
    <mergeCell ref="B242:B246"/>
    <mergeCell ref="B247:B251"/>
    <mergeCell ref="A1:D3"/>
    <mergeCell ref="C177:E177"/>
    <mergeCell ref="F177:H177"/>
    <mergeCell ref="I177:K177"/>
    <mergeCell ref="L177:N177"/>
    <mergeCell ref="B120:B122"/>
    <mergeCell ref="M118:T118"/>
    <mergeCell ref="C129:J129"/>
    <mergeCell ref="B131:B133"/>
    <mergeCell ref="C96:E96"/>
    <mergeCell ref="F96:H96"/>
    <mergeCell ref="I96:K96"/>
    <mergeCell ref="L96:N96"/>
    <mergeCell ref="O96:Q96"/>
    <mergeCell ref="L131:L133"/>
    <mergeCell ref="B156:B158"/>
    <mergeCell ref="B166:B168"/>
    <mergeCell ref="B15:B17"/>
    <mergeCell ref="C15:C17"/>
    <mergeCell ref="D15:D17"/>
    <mergeCell ref="E15:H15"/>
    <mergeCell ref="I15:L15"/>
    <mergeCell ref="M15:P15"/>
    <mergeCell ref="E16:F16"/>
    <mergeCell ref="I198:J198"/>
    <mergeCell ref="C106:E106"/>
    <mergeCell ref="F106:H106"/>
    <mergeCell ref="I106:K106"/>
    <mergeCell ref="L106:N106"/>
    <mergeCell ref="O106:Q106"/>
    <mergeCell ref="B142:B144"/>
    <mergeCell ref="P156:P158"/>
    <mergeCell ref="C154:G154"/>
    <mergeCell ref="J154:N154"/>
    <mergeCell ref="O177:Q177"/>
    <mergeCell ref="K198:L198"/>
    <mergeCell ref="S18:W18"/>
    <mergeCell ref="K217:L217"/>
    <mergeCell ref="C128:J128"/>
    <mergeCell ref="C118:J118"/>
    <mergeCell ref="L120:L122"/>
    <mergeCell ref="C140:J140"/>
    <mergeCell ref="C188:E188"/>
    <mergeCell ref="F188:H188"/>
    <mergeCell ref="I188:K188"/>
    <mergeCell ref="L188:N188"/>
    <mergeCell ref="O188:Q188"/>
    <mergeCell ref="C217:D217"/>
    <mergeCell ref="E217:F217"/>
    <mergeCell ref="G217:H217"/>
    <mergeCell ref="I217:J217"/>
    <mergeCell ref="Q154:U154"/>
    <mergeCell ref="I166:I168"/>
    <mergeCell ref="M129:T129"/>
    <mergeCell ref="I156:I158"/>
    <mergeCell ref="C164:G164"/>
    <mergeCell ref="J164:N164"/>
    <mergeCell ref="C198:D198"/>
    <mergeCell ref="E198:F198"/>
    <mergeCell ref="G198:H198"/>
  </mergeCells>
  <conditionalFormatting sqref="B260">
    <cfRule type="containsBlanks" dxfId="116" priority="129">
      <formula>LEN(TRIM(B260))=0</formula>
    </cfRule>
  </conditionalFormatting>
  <conditionalFormatting sqref="C162:G162">
    <cfRule type="containsBlanks" dxfId="115" priority="79">
      <formula>LEN(TRIM(C162))=0</formula>
    </cfRule>
    <cfRule type="cellIs" dxfId="114" priority="80" operator="lessThan">
      <formula>-1</formula>
    </cfRule>
    <cfRule type="cellIs" dxfId="113" priority="81" operator="greaterThan">
      <formula>1</formula>
    </cfRule>
  </conditionalFormatting>
  <conditionalFormatting sqref="C172:G172">
    <cfRule type="containsBlanks" dxfId="112" priority="91">
      <formula>LEN(TRIM(C172))=0</formula>
    </cfRule>
    <cfRule type="cellIs" dxfId="111" priority="92" operator="lessThan">
      <formula>-1</formula>
    </cfRule>
    <cfRule type="cellIs" dxfId="110" priority="93" operator="greaterThan">
      <formula>1</formula>
    </cfRule>
  </conditionalFormatting>
  <conditionalFormatting sqref="C126:J126">
    <cfRule type="containsBlanks" dxfId="109" priority="112">
      <formula>LEN(TRIM(C126))=0</formula>
    </cfRule>
    <cfRule type="cellIs" dxfId="108" priority="113" operator="lessThan">
      <formula>-1</formula>
    </cfRule>
    <cfRule type="cellIs" dxfId="107" priority="114" operator="greaterThan">
      <formula>1</formula>
    </cfRule>
  </conditionalFormatting>
  <conditionalFormatting sqref="C137:J137">
    <cfRule type="containsBlanks" dxfId="106" priority="106">
      <formula>LEN(TRIM(C137))=0</formula>
    </cfRule>
    <cfRule type="cellIs" dxfId="105" priority="107" operator="lessThan">
      <formula>-1</formula>
    </cfRule>
    <cfRule type="cellIs" dxfId="104" priority="108" operator="greaterThan">
      <formula>1</formula>
    </cfRule>
  </conditionalFormatting>
  <conditionalFormatting sqref="C148:J148">
    <cfRule type="containsBlanks" dxfId="103" priority="103">
      <formula>LEN(TRIM(C148))=0</formula>
    </cfRule>
    <cfRule type="cellIs" dxfId="102" priority="104" operator="lessThan">
      <formula>-1</formula>
    </cfRule>
    <cfRule type="cellIs" dxfId="101" priority="105" operator="greaterThan">
      <formula>1</formula>
    </cfRule>
  </conditionalFormatting>
  <conditionalFormatting sqref="J162:N162">
    <cfRule type="containsBlanks" dxfId="100" priority="85">
      <formula>LEN(TRIM(J162))=0</formula>
    </cfRule>
    <cfRule type="cellIs" dxfId="99" priority="86" operator="lessThan">
      <formula>-1</formula>
    </cfRule>
    <cfRule type="cellIs" dxfId="98" priority="87" operator="greaterThan">
      <formula>1</formula>
    </cfRule>
  </conditionalFormatting>
  <conditionalFormatting sqref="J172:N172">
    <cfRule type="containsBlanks" dxfId="97" priority="88">
      <formula>LEN(TRIM(J172))=0</formula>
    </cfRule>
    <cfRule type="cellIs" dxfId="96" priority="89" operator="lessThan">
      <formula>-1</formula>
    </cfRule>
    <cfRule type="cellIs" dxfId="95" priority="90" operator="greaterThan">
      <formula>1</formula>
    </cfRule>
  </conditionalFormatting>
  <conditionalFormatting sqref="K75:N79">
    <cfRule type="containsBlanks" dxfId="94" priority="115">
      <formula>LEN(TRIM(K75))=0</formula>
    </cfRule>
    <cfRule type="cellIs" dxfId="93" priority="116" operator="lessThan">
      <formula>-1</formula>
    </cfRule>
    <cfRule type="cellIs" dxfId="92" priority="117" operator="greaterThan">
      <formula>1</formula>
    </cfRule>
  </conditionalFormatting>
  <conditionalFormatting sqref="M18:P62">
    <cfRule type="containsBlanks" dxfId="91" priority="121">
      <formula>LEN(TRIM(M18))=0</formula>
    </cfRule>
    <cfRule type="cellIs" dxfId="90" priority="122" operator="lessThan">
      <formula>-1</formula>
    </cfRule>
    <cfRule type="cellIs" dxfId="89" priority="123" operator="greaterThan">
      <formula>1</formula>
    </cfRule>
  </conditionalFormatting>
  <conditionalFormatting sqref="M63:P71 O72:P79">
    <cfRule type="cellIs" dxfId="88" priority="126" operator="lessThan">
      <formula>-1</formula>
    </cfRule>
    <cfRule type="cellIs" dxfId="87" priority="130" operator="greaterThan">
      <formula>1</formula>
    </cfRule>
  </conditionalFormatting>
  <conditionalFormatting sqref="M126:T126">
    <cfRule type="containsBlanks" dxfId="86" priority="97">
      <formula>LEN(TRIM(M126))=0</formula>
    </cfRule>
    <cfRule type="cellIs" dxfId="85" priority="98" operator="lessThan">
      <formula>-1</formula>
    </cfRule>
    <cfRule type="cellIs" dxfId="84" priority="99" operator="greaterThan">
      <formula>1</formula>
    </cfRule>
  </conditionalFormatting>
  <conditionalFormatting sqref="M137:T137">
    <cfRule type="containsBlanks" dxfId="83" priority="100">
      <formula>LEN(TRIM(M137))=0</formula>
    </cfRule>
    <cfRule type="cellIs" dxfId="82" priority="101" operator="lessThan">
      <formula>-1</formula>
    </cfRule>
    <cfRule type="cellIs" dxfId="81" priority="102" operator="greaterThan">
      <formula>1</formula>
    </cfRule>
  </conditionalFormatting>
  <conditionalFormatting sqref="Q162:U162">
    <cfRule type="containsBlanks" dxfId="80" priority="82">
      <formula>LEN(TRIM(Q162))=0</formula>
    </cfRule>
    <cfRule type="cellIs" dxfId="79" priority="83" operator="lessThan">
      <formula>-1</formula>
    </cfRule>
    <cfRule type="cellIs" dxfId="78" priority="84" operator="greaterThan">
      <formula>1</formula>
    </cfRule>
  </conditionalFormatting>
  <conditionalFormatting sqref="N190:N193">
    <cfRule type="containsBlanks" dxfId="77" priority="49">
      <formula>LEN(TRIM(N190))=0</formula>
    </cfRule>
    <cfRule type="cellIs" dxfId="76" priority="50" operator="lessThan">
      <formula>-1</formula>
    </cfRule>
    <cfRule type="cellIs" dxfId="75" priority="51" operator="greaterThan">
      <formula>1</formula>
    </cfRule>
  </conditionalFormatting>
  <conditionalFormatting sqref="F200:F212">
    <cfRule type="containsBlanks" dxfId="74" priority="73">
      <formula>LEN(TRIM(F200))=0</formula>
    </cfRule>
    <cfRule type="cellIs" dxfId="73" priority="74" operator="lessThan">
      <formula>-1</formula>
    </cfRule>
    <cfRule type="cellIs" dxfId="72" priority="75" operator="greaterThan">
      <formula>1</formula>
    </cfRule>
  </conditionalFormatting>
  <conditionalFormatting sqref="D200:D212">
    <cfRule type="containsBlanks" dxfId="71" priority="70">
      <formula>LEN(TRIM(D200))=0</formula>
    </cfRule>
    <cfRule type="cellIs" dxfId="70" priority="71" operator="lessThan">
      <formula>-1</formula>
    </cfRule>
    <cfRule type="cellIs" dxfId="69" priority="72" operator="greaterThan">
      <formula>1</formula>
    </cfRule>
  </conditionalFormatting>
  <conditionalFormatting sqref="H200:H212">
    <cfRule type="containsBlanks" dxfId="68" priority="67">
      <formula>LEN(TRIM(H200))=0</formula>
    </cfRule>
    <cfRule type="cellIs" dxfId="67" priority="68" operator="lessThan">
      <formula>-1</formula>
    </cfRule>
    <cfRule type="cellIs" dxfId="66" priority="69" operator="greaterThan">
      <formula>1</formula>
    </cfRule>
  </conditionalFormatting>
  <conditionalFormatting sqref="J200:J212">
    <cfRule type="containsBlanks" dxfId="65" priority="64">
      <formula>LEN(TRIM(J200))=0</formula>
    </cfRule>
    <cfRule type="cellIs" dxfId="64" priority="65" operator="lessThan">
      <formula>-1</formula>
    </cfRule>
    <cfRule type="cellIs" dxfId="63" priority="66" operator="greaterThan">
      <formula>1</formula>
    </cfRule>
  </conditionalFormatting>
  <conditionalFormatting sqref="L200:L212">
    <cfRule type="containsBlanks" dxfId="62" priority="61">
      <formula>LEN(TRIM(L200))=0</formula>
    </cfRule>
    <cfRule type="cellIs" dxfId="61" priority="62" operator="lessThan">
      <formula>-1</formula>
    </cfRule>
    <cfRule type="cellIs" dxfId="60" priority="63" operator="greaterThan">
      <formula>1</formula>
    </cfRule>
  </conditionalFormatting>
  <conditionalFormatting sqref="E190:E193">
    <cfRule type="containsBlanks" dxfId="59" priority="58">
      <formula>LEN(TRIM(E190))=0</formula>
    </cfRule>
    <cfRule type="cellIs" dxfId="58" priority="59" operator="lessThan">
      <formula>-1</formula>
    </cfRule>
    <cfRule type="cellIs" dxfId="57" priority="60" operator="greaterThan">
      <formula>1</formula>
    </cfRule>
  </conditionalFormatting>
  <conditionalFormatting sqref="H190:H193">
    <cfRule type="containsBlanks" dxfId="56" priority="55">
      <formula>LEN(TRIM(H190))=0</formula>
    </cfRule>
    <cfRule type="cellIs" dxfId="55" priority="56" operator="lessThan">
      <formula>-1</formula>
    </cfRule>
    <cfRule type="cellIs" dxfId="54" priority="57" operator="greaterThan">
      <formula>1</formula>
    </cfRule>
  </conditionalFormatting>
  <conditionalFormatting sqref="K190:K193">
    <cfRule type="containsBlanks" dxfId="53" priority="52">
      <formula>LEN(TRIM(K190))=0</formula>
    </cfRule>
    <cfRule type="cellIs" dxfId="52" priority="53" operator="lessThan">
      <formula>-1</formula>
    </cfRule>
    <cfRule type="cellIs" dxfId="51" priority="54" operator="greaterThan">
      <formula>1</formula>
    </cfRule>
  </conditionalFormatting>
  <conditionalFormatting sqref="Q190:Q193">
    <cfRule type="containsBlanks" dxfId="50" priority="46">
      <formula>LEN(TRIM(Q190))=0</formula>
    </cfRule>
    <cfRule type="cellIs" dxfId="49" priority="47" operator="lessThan">
      <formula>-1</formula>
    </cfRule>
    <cfRule type="cellIs" dxfId="48" priority="48" operator="greaterThan">
      <formula>1</formula>
    </cfRule>
  </conditionalFormatting>
  <conditionalFormatting sqref="E179:E183">
    <cfRule type="containsBlanks" dxfId="47" priority="43">
      <formula>LEN(TRIM(E179))=0</formula>
    </cfRule>
    <cfRule type="cellIs" dxfId="46" priority="44" operator="lessThan">
      <formula>-2</formula>
    </cfRule>
    <cfRule type="cellIs" dxfId="45" priority="45" operator="greaterThan">
      <formula>2</formula>
    </cfRule>
  </conditionalFormatting>
  <conditionalFormatting sqref="H179:H183">
    <cfRule type="containsBlanks" dxfId="32" priority="28">
      <formula>LEN(TRIM(H179))=0</formula>
    </cfRule>
    <cfRule type="cellIs" dxfId="31" priority="29" operator="lessThan">
      <formula>-2</formula>
    </cfRule>
    <cfRule type="cellIs" dxfId="30" priority="30" operator="greaterThan">
      <formula>2</formula>
    </cfRule>
  </conditionalFormatting>
  <conditionalFormatting sqref="Q179:Q183">
    <cfRule type="containsBlanks" dxfId="29" priority="16">
      <formula>LEN(TRIM(Q179))=0</formula>
    </cfRule>
    <cfRule type="cellIs" dxfId="28" priority="17" operator="lessThan">
      <formula>-2</formula>
    </cfRule>
    <cfRule type="cellIs" dxfId="27" priority="18" operator="greaterThan">
      <formula>2</formula>
    </cfRule>
  </conditionalFormatting>
  <conditionalFormatting sqref="K179:K183">
    <cfRule type="containsBlanks" dxfId="26" priority="22">
      <formula>LEN(TRIM(K179))=0</formula>
    </cfRule>
    <cfRule type="cellIs" dxfId="25" priority="23" operator="lessThan">
      <formula>-2</formula>
    </cfRule>
    <cfRule type="cellIs" dxfId="24" priority="24" operator="greaterThan">
      <formula>2</formula>
    </cfRule>
  </conditionalFormatting>
  <conditionalFormatting sqref="N179:N183">
    <cfRule type="containsBlanks" dxfId="23" priority="19">
      <formula>LEN(TRIM(N179))=0</formula>
    </cfRule>
    <cfRule type="cellIs" dxfId="22" priority="20" operator="lessThan">
      <formula>-2</formula>
    </cfRule>
    <cfRule type="cellIs" dxfId="21" priority="21" operator="greaterThan">
      <formula>2</formula>
    </cfRule>
  </conditionalFormatting>
  <conditionalFormatting sqref="D219:D228">
    <cfRule type="containsBlanks" dxfId="14" priority="13">
      <formula>LEN(TRIM(D219))=0</formula>
    </cfRule>
    <cfRule type="cellIs" dxfId="13" priority="14" operator="lessThan">
      <formula>-1</formula>
    </cfRule>
    <cfRule type="cellIs" dxfId="12" priority="15" operator="greaterThan">
      <formula>1</formula>
    </cfRule>
  </conditionalFormatting>
  <conditionalFormatting sqref="F219:F228">
    <cfRule type="containsBlanks" dxfId="11" priority="10">
      <formula>LEN(TRIM(F219))=0</formula>
    </cfRule>
    <cfRule type="cellIs" dxfId="10" priority="11" operator="lessThan">
      <formula>-1</formula>
    </cfRule>
    <cfRule type="cellIs" dxfId="9" priority="12" operator="greaterThan">
      <formula>1</formula>
    </cfRule>
  </conditionalFormatting>
  <conditionalFormatting sqref="H219:H228">
    <cfRule type="containsBlanks" dxfId="8" priority="7">
      <formula>LEN(TRIM(H219))=0</formula>
    </cfRule>
    <cfRule type="cellIs" dxfId="7" priority="8" operator="lessThan">
      <formula>-1</formula>
    </cfRule>
    <cfRule type="cellIs" dxfId="6" priority="9" operator="greaterThan">
      <formula>1</formula>
    </cfRule>
  </conditionalFormatting>
  <conditionalFormatting sqref="J219:J228">
    <cfRule type="containsBlanks" dxfId="5" priority="4">
      <formula>LEN(TRIM(J219))=0</formula>
    </cfRule>
    <cfRule type="cellIs" dxfId="4" priority="5" operator="lessThan">
      <formula>-1</formula>
    </cfRule>
    <cfRule type="cellIs" dxfId="3" priority="6" operator="greaterThan">
      <formula>1</formula>
    </cfRule>
  </conditionalFormatting>
  <conditionalFormatting sqref="L219:L228">
    <cfRule type="containsBlanks" dxfId="2" priority="1">
      <formula>LEN(TRIM(L219))=0</formula>
    </cfRule>
    <cfRule type="cellIs" dxfId="1" priority="2" operator="lessThan">
      <formula>-1</formula>
    </cfRule>
    <cfRule type="cellIs" dxfId="0" priority="3" operator="greaterThan">
      <formula>1</formula>
    </cfRule>
  </conditionalFormatting>
  <pageMargins left="0.7" right="0.7" top="0.75" bottom="0.75" header="0.3" footer="0.3"/>
  <pageSetup scale="25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2"/>
  <sheetViews>
    <sheetView topLeftCell="A43" zoomScale="90" zoomScaleNormal="90" workbookViewId="0">
      <selection activeCell="C59" sqref="C59"/>
    </sheetView>
  </sheetViews>
  <sheetFormatPr defaultRowHeight="15" x14ac:dyDescent="0.25"/>
  <cols>
    <col min="1" max="1" width="13.42578125" customWidth="1"/>
    <col min="2" max="2" width="14.7109375" customWidth="1"/>
    <col min="3" max="3" width="15.140625" customWidth="1"/>
    <col min="4" max="4" width="10.85546875" customWidth="1"/>
    <col min="5" max="5" width="13.7109375" customWidth="1"/>
  </cols>
  <sheetData>
    <row r="1" spans="1:38" x14ac:dyDescent="0.25">
      <c r="A1" s="556" t="s">
        <v>1</v>
      </c>
      <c r="B1" s="556"/>
      <c r="C1" s="556"/>
      <c r="D1" s="556"/>
      <c r="AL1" s="5" t="s">
        <v>50</v>
      </c>
    </row>
    <row r="2" spans="1:38" x14ac:dyDescent="0.25">
      <c r="A2" s="556"/>
      <c r="B2" s="556"/>
      <c r="C2" s="556"/>
      <c r="D2" s="556"/>
      <c r="AL2" s="5" t="s">
        <v>51</v>
      </c>
    </row>
    <row r="3" spans="1:38" x14ac:dyDescent="0.25">
      <c r="A3" s="556"/>
      <c r="B3" s="556"/>
      <c r="C3" s="556"/>
      <c r="D3" s="556"/>
    </row>
    <row r="5" spans="1:38" ht="15.7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38" x14ac:dyDescent="0.25">
      <c r="A6" t="s">
        <v>2</v>
      </c>
    </row>
    <row r="7" spans="1:38" x14ac:dyDescent="0.25">
      <c r="A7" t="s">
        <v>3</v>
      </c>
    </row>
    <row r="8" spans="1:38" x14ac:dyDescent="0.25">
      <c r="A8" t="s">
        <v>58</v>
      </c>
    </row>
    <row r="9" spans="1:38" x14ac:dyDescent="0.25">
      <c r="A9" s="4" t="s">
        <v>52</v>
      </c>
    </row>
    <row r="10" spans="1:38" x14ac:dyDescent="0.25">
      <c r="A10" s="4" t="s">
        <v>78</v>
      </c>
    </row>
    <row r="11" spans="1:38" x14ac:dyDescent="0.25">
      <c r="A11" s="4" t="s">
        <v>53</v>
      </c>
    </row>
    <row r="12" spans="1:38" x14ac:dyDescent="0.25">
      <c r="A12" s="4"/>
      <c r="B12" s="27" t="s">
        <v>142</v>
      </c>
    </row>
    <row r="13" spans="1:38" x14ac:dyDescent="0.25">
      <c r="A13" s="4"/>
      <c r="B13" s="4"/>
    </row>
    <row r="14" spans="1:38" x14ac:dyDescent="0.25">
      <c r="A14" s="4"/>
    </row>
    <row r="16" spans="1:38" x14ac:dyDescent="0.25">
      <c r="A16" t="s">
        <v>59</v>
      </c>
    </row>
    <row r="17" spans="1:11" x14ac:dyDescent="0.25">
      <c r="A17" s="4" t="s">
        <v>183</v>
      </c>
    </row>
    <row r="18" spans="1:11" x14ac:dyDescent="0.25">
      <c r="A18" s="4" t="s">
        <v>132</v>
      </c>
    </row>
    <row r="19" spans="1:11" x14ac:dyDescent="0.25">
      <c r="A19" s="4"/>
    </row>
    <row r="20" spans="1:11" x14ac:dyDescent="0.25">
      <c r="A20" s="4"/>
      <c r="B20" s="27" t="s">
        <v>143</v>
      </c>
    </row>
    <row r="21" spans="1:11" x14ac:dyDescent="0.25">
      <c r="A21" s="4"/>
      <c r="B21" s="4"/>
    </row>
    <row r="22" spans="1:11" x14ac:dyDescent="0.25">
      <c r="A22" s="4"/>
      <c r="B22" s="4"/>
    </row>
    <row r="23" spans="1:11" x14ac:dyDescent="0.25">
      <c r="A23" t="s">
        <v>63</v>
      </c>
    </row>
    <row r="24" spans="1:11" ht="9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1" ht="24.75" customHeight="1" thickBot="1" x14ac:dyDescent="0.3">
      <c r="B25" s="12" t="s">
        <v>49</v>
      </c>
      <c r="C25" s="12" t="s">
        <v>48</v>
      </c>
      <c r="D25" s="101" t="s">
        <v>64</v>
      </c>
      <c r="E25" s="101" t="s">
        <v>48</v>
      </c>
      <c r="F25" s="4"/>
      <c r="G25" s="4"/>
      <c r="H25" s="4"/>
      <c r="I25" s="4"/>
      <c r="J25" s="4"/>
      <c r="K25" s="4"/>
    </row>
    <row r="26" spans="1:11" x14ac:dyDescent="0.25">
      <c r="B26" s="9">
        <v>6</v>
      </c>
      <c r="C26" s="22" t="s">
        <v>50</v>
      </c>
      <c r="D26" s="16">
        <v>4</v>
      </c>
      <c r="E26" s="19" t="s">
        <v>50</v>
      </c>
      <c r="F26" s="4"/>
      <c r="G26" s="4"/>
      <c r="H26" s="4"/>
      <c r="I26" s="4"/>
      <c r="J26" s="4"/>
      <c r="K26" s="4"/>
    </row>
    <row r="27" spans="1:11" x14ac:dyDescent="0.25">
      <c r="B27" s="8">
        <v>10</v>
      </c>
      <c r="C27" s="23" t="s">
        <v>50</v>
      </c>
      <c r="D27" s="17">
        <v>5</v>
      </c>
      <c r="E27" s="20" t="s">
        <v>50</v>
      </c>
      <c r="F27" s="4"/>
      <c r="G27" s="4"/>
      <c r="H27" s="4"/>
      <c r="I27" s="4"/>
      <c r="J27" s="4"/>
      <c r="K27" s="4"/>
    </row>
    <row r="28" spans="1:11" x14ac:dyDescent="0.25">
      <c r="B28" s="8">
        <v>15</v>
      </c>
      <c r="C28" s="23" t="s">
        <v>50</v>
      </c>
      <c r="D28" s="17">
        <v>7.5</v>
      </c>
      <c r="E28" s="20" t="s">
        <v>50</v>
      </c>
      <c r="F28" s="4"/>
      <c r="G28" s="4"/>
      <c r="H28" s="4"/>
      <c r="I28" s="4"/>
      <c r="J28" s="4"/>
      <c r="K28" s="4"/>
    </row>
    <row r="29" spans="1:11" x14ac:dyDescent="0.25">
      <c r="B29" s="8">
        <v>20</v>
      </c>
      <c r="C29" s="23" t="s">
        <v>50</v>
      </c>
      <c r="D29" s="17">
        <v>10</v>
      </c>
      <c r="E29" s="20" t="s">
        <v>50</v>
      </c>
      <c r="F29" s="4"/>
      <c r="G29" s="4"/>
      <c r="H29" s="4"/>
      <c r="I29" s="4"/>
      <c r="J29" s="4"/>
      <c r="K29" s="4"/>
    </row>
    <row r="30" spans="1:11" x14ac:dyDescent="0.25">
      <c r="B30" s="8">
        <v>25</v>
      </c>
      <c r="C30" s="23" t="s">
        <v>50</v>
      </c>
      <c r="D30" s="17">
        <v>12.5</v>
      </c>
      <c r="E30" s="20" t="s">
        <v>50</v>
      </c>
      <c r="F30" s="4"/>
      <c r="G30" s="4"/>
      <c r="H30" s="4"/>
      <c r="I30" s="4"/>
      <c r="J30" s="4"/>
      <c r="K30" s="4"/>
    </row>
    <row r="31" spans="1:11" x14ac:dyDescent="0.25">
      <c r="B31" s="10"/>
      <c r="C31" s="21"/>
      <c r="D31" s="17">
        <v>15</v>
      </c>
      <c r="E31" s="20" t="s">
        <v>50</v>
      </c>
      <c r="F31" s="4"/>
      <c r="G31" s="4"/>
      <c r="H31" s="4"/>
      <c r="I31" s="4"/>
      <c r="J31" s="4"/>
      <c r="K31" s="4"/>
    </row>
    <row r="32" spans="1:11" x14ac:dyDescent="0.25">
      <c r="B32" s="4"/>
      <c r="C32" s="4"/>
      <c r="D32" s="17">
        <v>17.5</v>
      </c>
      <c r="E32" s="20" t="s">
        <v>50</v>
      </c>
      <c r="F32" s="4"/>
      <c r="G32" s="4"/>
      <c r="H32" s="4"/>
      <c r="I32" s="4"/>
      <c r="J32" s="4"/>
      <c r="K32" s="4"/>
    </row>
    <row r="33" spans="1:10" x14ac:dyDescent="0.25">
      <c r="A33" s="4"/>
      <c r="B33" s="4"/>
      <c r="C33" s="5"/>
      <c r="D33" s="5"/>
      <c r="E33" s="4"/>
      <c r="F33" s="4"/>
      <c r="G33" s="4"/>
      <c r="H33" s="4"/>
      <c r="I33" s="4"/>
      <c r="J33" s="4"/>
    </row>
    <row r="34" spans="1:10" x14ac:dyDescent="0.25">
      <c r="A34" t="s">
        <v>57</v>
      </c>
    </row>
    <row r="35" spans="1:10" x14ac:dyDescent="0.25">
      <c r="A35" s="4" t="s">
        <v>54</v>
      </c>
      <c r="B35" s="4"/>
      <c r="C35" s="4"/>
      <c r="D35" s="4"/>
      <c r="E35" s="4"/>
      <c r="F35" s="4"/>
      <c r="G35" s="4"/>
      <c r="H35" s="4"/>
      <c r="I35" s="4"/>
    </row>
    <row r="36" spans="1:10" x14ac:dyDescent="0.25">
      <c r="A36" s="4" t="s">
        <v>126</v>
      </c>
      <c r="B36" s="4"/>
      <c r="C36" s="4"/>
      <c r="D36" s="4"/>
      <c r="E36" s="4"/>
      <c r="F36" s="4"/>
      <c r="G36" s="4"/>
      <c r="H36" s="4"/>
      <c r="I36" s="4"/>
    </row>
    <row r="37" spans="1:10" x14ac:dyDescent="0.25">
      <c r="A37" s="4" t="s">
        <v>127</v>
      </c>
      <c r="B37" s="4"/>
      <c r="C37" s="4"/>
      <c r="D37" s="4"/>
      <c r="E37" s="4"/>
      <c r="F37" s="4"/>
      <c r="G37" s="4"/>
      <c r="H37" s="4"/>
      <c r="I37" s="4"/>
    </row>
    <row r="38" spans="1:10" x14ac:dyDescent="0.25">
      <c r="A38" s="4" t="s">
        <v>55</v>
      </c>
      <c r="B38" s="4"/>
      <c r="C38" s="4"/>
      <c r="D38" s="4"/>
      <c r="E38" s="4"/>
      <c r="F38" s="4"/>
      <c r="G38" s="4"/>
      <c r="H38" s="4"/>
      <c r="I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10" ht="26.25" thickBot="1" x14ac:dyDescent="0.3">
      <c r="A40" s="4"/>
      <c r="B40" s="12" t="s">
        <v>56</v>
      </c>
      <c r="C40" s="14" t="s">
        <v>82</v>
      </c>
      <c r="D40" s="4"/>
      <c r="E40" s="4"/>
      <c r="F40" s="4"/>
      <c r="G40" s="4"/>
      <c r="H40" s="4"/>
      <c r="I40" s="4"/>
    </row>
    <row r="41" spans="1:10" ht="27" customHeight="1" x14ac:dyDescent="0.25">
      <c r="A41" s="6"/>
      <c r="B41" s="25" t="s">
        <v>187</v>
      </c>
      <c r="C41" s="25" t="s">
        <v>187</v>
      </c>
      <c r="D41" s="4"/>
      <c r="E41" s="4"/>
      <c r="F41" s="4"/>
      <c r="G41" s="4"/>
      <c r="H41" s="4"/>
      <c r="I41" s="4"/>
    </row>
    <row r="42" spans="1:10" x14ac:dyDescent="0.25">
      <c r="A42" s="6"/>
      <c r="B42" s="4"/>
      <c r="C42" s="4"/>
      <c r="D42" s="4"/>
      <c r="E42" s="4"/>
      <c r="F42" s="4"/>
      <c r="G42" s="4"/>
      <c r="H42" s="4"/>
      <c r="I42" s="4"/>
    </row>
    <row r="43" spans="1:10" ht="17.25" x14ac:dyDescent="0.25">
      <c r="A43" t="s">
        <v>4</v>
      </c>
    </row>
    <row r="44" spans="1:10" x14ac:dyDescent="0.25">
      <c r="A44" s="4" t="s">
        <v>79</v>
      </c>
    </row>
    <row r="45" spans="1:10" x14ac:dyDescent="0.25">
      <c r="A45" s="4" t="s">
        <v>80</v>
      </c>
    </row>
    <row r="46" spans="1:10" ht="15.75" x14ac:dyDescent="0.25">
      <c r="A46" s="4" t="s">
        <v>81</v>
      </c>
    </row>
    <row r="47" spans="1:10" x14ac:dyDescent="0.25">
      <c r="A47" s="4"/>
    </row>
    <row r="48" spans="1:10" ht="28.5" thickBot="1" x14ac:dyDescent="0.3">
      <c r="A48" s="4"/>
      <c r="B48" s="77" t="s">
        <v>128</v>
      </c>
      <c r="C48" s="14" t="s">
        <v>129</v>
      </c>
    </row>
    <row r="49" spans="1:5" x14ac:dyDescent="0.25">
      <c r="A49" s="4"/>
      <c r="B49" s="15">
        <v>0</v>
      </c>
      <c r="C49" s="15"/>
    </row>
    <row r="50" spans="1:5" x14ac:dyDescent="0.25">
      <c r="B50" s="90">
        <v>315</v>
      </c>
      <c r="C50" s="90"/>
    </row>
    <row r="51" spans="1:5" x14ac:dyDescent="0.25">
      <c r="B51" s="90">
        <v>270</v>
      </c>
      <c r="C51" s="90"/>
    </row>
    <row r="52" spans="1:5" x14ac:dyDescent="0.25">
      <c r="B52" s="90">
        <v>45</v>
      </c>
      <c r="C52" s="90"/>
    </row>
    <row r="53" spans="1:5" x14ac:dyDescent="0.25">
      <c r="B53" s="90">
        <v>90</v>
      </c>
      <c r="C53" s="90"/>
    </row>
    <row r="55" spans="1:5" x14ac:dyDescent="0.25">
      <c r="A55" t="s">
        <v>5</v>
      </c>
    </row>
    <row r="56" spans="1:5" ht="6.75" customHeight="1" x14ac:dyDescent="0.25"/>
    <row r="57" spans="1:5" x14ac:dyDescent="0.25">
      <c r="A57" s="4"/>
      <c r="B57" s="528" t="s">
        <v>129</v>
      </c>
      <c r="C57" s="528"/>
      <c r="D57" s="559" t="s">
        <v>148</v>
      </c>
      <c r="E57" s="559"/>
    </row>
    <row r="58" spans="1:5" ht="15.75" thickBot="1" x14ac:dyDescent="0.3">
      <c r="A58" s="4"/>
      <c r="B58" s="29" t="s">
        <v>130</v>
      </c>
      <c r="C58" s="29" t="s">
        <v>131</v>
      </c>
      <c r="D58" s="29" t="s">
        <v>149</v>
      </c>
      <c r="E58" s="29" t="s">
        <v>150</v>
      </c>
    </row>
    <row r="59" spans="1:5" ht="16.5" customHeight="1" x14ac:dyDescent="0.25">
      <c r="A59" s="91" t="s">
        <v>60</v>
      </c>
      <c r="B59" s="15"/>
      <c r="C59" s="15"/>
      <c r="D59" s="15">
        <v>15.5</v>
      </c>
      <c r="E59" s="15">
        <v>160.5</v>
      </c>
    </row>
    <row r="60" spans="1:5" ht="17.25" customHeight="1" x14ac:dyDescent="0.25">
      <c r="A60" s="91" t="s">
        <v>61</v>
      </c>
      <c r="B60" s="90"/>
      <c r="C60" s="90"/>
      <c r="D60" s="90">
        <v>-24.5</v>
      </c>
      <c r="E60" s="90">
        <v>24.5</v>
      </c>
    </row>
    <row r="61" spans="1:5" ht="17.25" customHeight="1" x14ac:dyDescent="0.25">
      <c r="A61" s="91" t="s">
        <v>62</v>
      </c>
      <c r="B61" s="90"/>
      <c r="C61" s="90"/>
      <c r="D61" s="90">
        <v>-57</v>
      </c>
      <c r="E61" s="90">
        <v>40.520000000000003</v>
      </c>
    </row>
    <row r="63" spans="1:5" ht="17.25" x14ac:dyDescent="0.25">
      <c r="A63" s="24" t="s">
        <v>144</v>
      </c>
    </row>
    <row r="64" spans="1:5" x14ac:dyDescent="0.25">
      <c r="A64" s="4" t="s">
        <v>164</v>
      </c>
    </row>
    <row r="65" spans="1:3" x14ac:dyDescent="0.25">
      <c r="A65" s="4"/>
    </row>
    <row r="66" spans="1:3" ht="15.75" thickBot="1" x14ac:dyDescent="0.3">
      <c r="A66" s="4"/>
      <c r="B66" s="112" t="s">
        <v>129</v>
      </c>
      <c r="C66" s="14" t="s">
        <v>145</v>
      </c>
    </row>
    <row r="67" spans="1:3" x14ac:dyDescent="0.25">
      <c r="A67" s="557" t="s">
        <v>146</v>
      </c>
      <c r="B67" s="15">
        <v>3</v>
      </c>
      <c r="C67" s="15"/>
    </row>
    <row r="68" spans="1:3" x14ac:dyDescent="0.25">
      <c r="A68" s="557"/>
      <c r="B68" s="90">
        <v>0</v>
      </c>
      <c r="C68" s="90"/>
    </row>
    <row r="69" spans="1:3" x14ac:dyDescent="0.25">
      <c r="A69" s="557"/>
      <c r="B69" s="90">
        <v>357</v>
      </c>
      <c r="C69" s="90"/>
    </row>
    <row r="70" spans="1:3" x14ac:dyDescent="0.25">
      <c r="A70" s="558" t="s">
        <v>147</v>
      </c>
      <c r="B70" s="90">
        <v>3</v>
      </c>
      <c r="C70" s="90"/>
    </row>
    <row r="71" spans="1:3" x14ac:dyDescent="0.25">
      <c r="A71" s="558"/>
      <c r="B71" s="90">
        <v>0</v>
      </c>
      <c r="C71" s="90"/>
    </row>
    <row r="72" spans="1:3" x14ac:dyDescent="0.25">
      <c r="A72" s="558"/>
      <c r="B72" s="90">
        <v>357</v>
      </c>
      <c r="C72" s="90"/>
    </row>
  </sheetData>
  <mergeCells count="5">
    <mergeCell ref="A1:D3"/>
    <mergeCell ref="B57:C57"/>
    <mergeCell ref="A67:A69"/>
    <mergeCell ref="A70:A72"/>
    <mergeCell ref="D57:E57"/>
  </mergeCells>
  <dataValidations disablePrompts="1" count="1">
    <dataValidation type="list" allowBlank="1" showInputMessage="1" showErrorMessage="1" sqref="C26:C31 E26:E32">
      <formula1>$AL$1:$AL$2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90" zoomScaleNormal="90" workbookViewId="0">
      <selection activeCell="D27" sqref="D27"/>
    </sheetView>
  </sheetViews>
  <sheetFormatPr defaultRowHeight="15" x14ac:dyDescent="0.25"/>
  <cols>
    <col min="4" max="4" width="10.85546875" customWidth="1"/>
    <col min="5" max="5" width="10.28515625" customWidth="1"/>
    <col min="6" max="6" width="9.42578125" bestFit="1" customWidth="1"/>
    <col min="7" max="7" width="8.28515625" customWidth="1"/>
    <col min="8" max="8" width="10.5703125" customWidth="1"/>
    <col min="9" max="9" width="10.7109375" customWidth="1"/>
    <col min="10" max="10" width="10.85546875" customWidth="1"/>
    <col min="11" max="11" width="15.140625" customWidth="1"/>
    <col min="12" max="12" width="15.85546875" customWidth="1"/>
    <col min="13" max="13" width="10.42578125" customWidth="1"/>
    <col min="14" max="15" width="10" customWidth="1"/>
    <col min="16" max="16" width="10.5703125" customWidth="1"/>
    <col min="21" max="21" width="11" customWidth="1"/>
    <col min="24" max="24" width="11.42578125" customWidth="1"/>
  </cols>
  <sheetData>
    <row r="1" spans="1:25" ht="15" customHeight="1" x14ac:dyDescent="0.25">
      <c r="A1" s="556" t="s">
        <v>6</v>
      </c>
      <c r="B1" s="556"/>
      <c r="C1" s="556"/>
      <c r="D1" s="556"/>
    </row>
    <row r="2" spans="1:25" ht="15" customHeight="1" x14ac:dyDescent="0.25">
      <c r="A2" s="556"/>
      <c r="B2" s="556"/>
      <c r="C2" s="556"/>
      <c r="D2" s="556"/>
    </row>
    <row r="3" spans="1:25" ht="15" customHeight="1" x14ac:dyDescent="0.25">
      <c r="A3" s="556"/>
      <c r="B3" s="556"/>
      <c r="C3" s="556"/>
      <c r="D3" s="556"/>
    </row>
    <row r="5" spans="1:25" ht="15.7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25" ht="17.25" x14ac:dyDescent="0.25">
      <c r="A6" t="s">
        <v>7</v>
      </c>
    </row>
    <row r="7" spans="1:25" x14ac:dyDescent="0.25">
      <c r="A7" t="s">
        <v>8</v>
      </c>
    </row>
    <row r="8" spans="1:25" x14ac:dyDescent="0.25">
      <c r="A8" t="s">
        <v>219</v>
      </c>
    </row>
    <row r="9" spans="1:25" ht="15.75" x14ac:dyDescent="0.25">
      <c r="A9" s="4" t="s">
        <v>216</v>
      </c>
    </row>
    <row r="10" spans="1:25" x14ac:dyDescent="0.25">
      <c r="A10" s="4" t="s">
        <v>220</v>
      </c>
    </row>
    <row r="11" spans="1:25" x14ac:dyDescent="0.25">
      <c r="A11" s="4"/>
      <c r="C11" s="27" t="s">
        <v>221</v>
      </c>
      <c r="E11" t="s">
        <v>217</v>
      </c>
    </row>
    <row r="12" spans="1:25" x14ac:dyDescent="0.25">
      <c r="A12" s="4"/>
      <c r="C12" s="4"/>
    </row>
    <row r="14" spans="1:25" ht="102.75" thickBot="1" x14ac:dyDescent="0.3">
      <c r="B14" s="93" t="s">
        <v>85</v>
      </c>
      <c r="C14" s="93" t="s">
        <v>218</v>
      </c>
      <c r="D14" s="93" t="s">
        <v>222</v>
      </c>
      <c r="E14" s="93" t="s">
        <v>223</v>
      </c>
      <c r="F14" s="93" t="s">
        <v>86</v>
      </c>
      <c r="G14" s="93" t="s">
        <v>224</v>
      </c>
      <c r="H14" s="93" t="s">
        <v>225</v>
      </c>
      <c r="I14" s="93" t="s">
        <v>86</v>
      </c>
      <c r="J14" s="93" t="s">
        <v>85</v>
      </c>
      <c r="K14" s="93" t="s">
        <v>218</v>
      </c>
      <c r="L14" s="93" t="s">
        <v>222</v>
      </c>
      <c r="M14" s="93" t="s">
        <v>223</v>
      </c>
      <c r="N14" s="93" t="s">
        <v>86</v>
      </c>
      <c r="O14" s="93" t="s">
        <v>224</v>
      </c>
      <c r="P14" s="93" t="s">
        <v>225</v>
      </c>
      <c r="Q14" s="93" t="s">
        <v>86</v>
      </c>
      <c r="R14" s="93" t="s">
        <v>85</v>
      </c>
      <c r="S14" s="93" t="s">
        <v>218</v>
      </c>
      <c r="T14" s="93" t="s">
        <v>222</v>
      </c>
      <c r="U14" s="93" t="s">
        <v>223</v>
      </c>
      <c r="V14" s="93" t="s">
        <v>86</v>
      </c>
      <c r="W14" s="93" t="s">
        <v>224</v>
      </c>
      <c r="X14" s="93" t="s">
        <v>225</v>
      </c>
      <c r="Y14" s="93" t="s">
        <v>86</v>
      </c>
    </row>
    <row r="15" spans="1:25" x14ac:dyDescent="0.25">
      <c r="B15" s="547" t="s">
        <v>28</v>
      </c>
      <c r="C15" s="147">
        <v>10</v>
      </c>
      <c r="D15" s="147">
        <v>7.5</v>
      </c>
      <c r="E15" s="147"/>
      <c r="F15" s="147" t="str">
        <f>IF(E15="","",ABS(E15-D15))</f>
        <v/>
      </c>
      <c r="G15" s="147">
        <v>7.1</v>
      </c>
      <c r="H15" s="147"/>
      <c r="I15" s="142" t="str">
        <f>IF(H15="","",ABS(H15-G15))</f>
        <v/>
      </c>
      <c r="J15" s="547" t="s">
        <v>32</v>
      </c>
      <c r="K15" s="147">
        <v>10</v>
      </c>
      <c r="L15" s="147">
        <v>6.5</v>
      </c>
      <c r="M15" s="147"/>
      <c r="N15" s="147" t="str">
        <f>IF(M15="","",ABS(M15-L15))</f>
        <v/>
      </c>
      <c r="O15" s="147">
        <v>6.3</v>
      </c>
      <c r="P15" s="147"/>
      <c r="Q15" s="142" t="str">
        <f>IF(P15="","",ABS(P15-O15))</f>
        <v/>
      </c>
      <c r="R15" s="547" t="s">
        <v>33</v>
      </c>
      <c r="S15" s="147">
        <v>10</v>
      </c>
      <c r="T15" s="147">
        <v>5.8</v>
      </c>
      <c r="U15" s="147"/>
      <c r="V15" s="147" t="str">
        <f>IF(U15="","",ABS(U15-T15))</f>
        <v/>
      </c>
      <c r="W15" s="147">
        <v>5.5</v>
      </c>
      <c r="X15" s="147"/>
      <c r="Y15" s="142" t="str">
        <f>IF(X15="","",ABS(X15-W15))</f>
        <v/>
      </c>
    </row>
    <row r="16" spans="1:25" x14ac:dyDescent="0.25">
      <c r="B16" s="548"/>
      <c r="C16" s="26">
        <v>15</v>
      </c>
      <c r="D16" s="26">
        <v>10.8</v>
      </c>
      <c r="E16" s="26"/>
      <c r="F16" s="26" t="str">
        <f t="shared" ref="F16:F21" si="0">IF(E16="","",ABS(E16-D16))</f>
        <v/>
      </c>
      <c r="G16" s="26">
        <v>10.8</v>
      </c>
      <c r="H16" s="26"/>
      <c r="I16" s="143" t="str">
        <f t="shared" ref="I16:I21" si="1">IF(H16="","",ABS(H16-G16))</f>
        <v/>
      </c>
      <c r="J16" s="548"/>
      <c r="K16" s="26">
        <v>15</v>
      </c>
      <c r="L16" s="26">
        <v>9.4</v>
      </c>
      <c r="M16" s="26"/>
      <c r="N16" s="26" t="str">
        <f t="shared" ref="N16:N21" si="2">IF(M16="","",ABS(M16-L16))</f>
        <v/>
      </c>
      <c r="O16" s="26">
        <v>9.5</v>
      </c>
      <c r="P16" s="26"/>
      <c r="Q16" s="143" t="str">
        <f t="shared" ref="Q16:Q21" si="3">IF(P16="","",ABS(P16-O16))</f>
        <v/>
      </c>
      <c r="R16" s="548"/>
      <c r="S16" s="26">
        <v>15</v>
      </c>
      <c r="T16" s="26">
        <v>8.5</v>
      </c>
      <c r="U16" s="26"/>
      <c r="V16" s="26" t="str">
        <f t="shared" ref="V16:V21" si="4">IF(U16="","",ABS(U16-T16))</f>
        <v/>
      </c>
      <c r="W16" s="26">
        <v>8.4</v>
      </c>
      <c r="X16" s="26"/>
      <c r="Y16" s="143" t="str">
        <f t="shared" ref="Y16:Y21" si="5">IF(X16="","",ABS(X16-W16))</f>
        <v/>
      </c>
    </row>
    <row r="17" spans="2:25" x14ac:dyDescent="0.25">
      <c r="B17" s="548"/>
      <c r="C17" s="26">
        <v>20</v>
      </c>
      <c r="D17" s="26">
        <v>14.5</v>
      </c>
      <c r="E17" s="26"/>
      <c r="F17" s="26" t="str">
        <f t="shared" si="0"/>
        <v/>
      </c>
      <c r="G17" s="26">
        <v>14.7</v>
      </c>
      <c r="H17" s="26"/>
      <c r="I17" s="143" t="str">
        <f t="shared" si="1"/>
        <v/>
      </c>
      <c r="J17" s="548"/>
      <c r="K17" s="26">
        <v>20</v>
      </c>
      <c r="L17" s="26">
        <v>12.6</v>
      </c>
      <c r="M17" s="26"/>
      <c r="N17" s="26" t="str">
        <f t="shared" si="2"/>
        <v/>
      </c>
      <c r="O17" s="26">
        <v>12.9</v>
      </c>
      <c r="P17" s="26"/>
      <c r="Q17" s="143" t="str">
        <f t="shared" si="3"/>
        <v/>
      </c>
      <c r="R17" s="548"/>
      <c r="S17" s="26">
        <v>20</v>
      </c>
      <c r="T17" s="26">
        <v>11.4</v>
      </c>
      <c r="U17" s="26"/>
      <c r="V17" s="26" t="str">
        <f t="shared" si="4"/>
        <v/>
      </c>
      <c r="W17" s="26">
        <v>11.5</v>
      </c>
      <c r="X17" s="26"/>
      <c r="Y17" s="143" t="str">
        <f t="shared" si="5"/>
        <v/>
      </c>
    </row>
    <row r="18" spans="2:25" x14ac:dyDescent="0.25">
      <c r="B18" s="548"/>
      <c r="C18" s="26">
        <v>25</v>
      </c>
      <c r="D18" s="26">
        <v>18.3</v>
      </c>
      <c r="E18" s="26"/>
      <c r="F18" s="26" t="str">
        <f t="shared" si="0"/>
        <v/>
      </c>
      <c r="G18" s="26">
        <v>18.8</v>
      </c>
      <c r="H18" s="26"/>
      <c r="I18" s="143" t="str">
        <f t="shared" si="1"/>
        <v/>
      </c>
      <c r="J18" s="548"/>
      <c r="K18" s="26">
        <v>25</v>
      </c>
      <c r="L18" s="26">
        <v>16</v>
      </c>
      <c r="M18" s="26"/>
      <c r="N18" s="26" t="str">
        <f t="shared" si="2"/>
        <v/>
      </c>
      <c r="O18" s="26">
        <v>16.5</v>
      </c>
      <c r="P18" s="26"/>
      <c r="Q18" s="143" t="str">
        <f t="shared" si="3"/>
        <v/>
      </c>
      <c r="R18" s="548"/>
      <c r="S18" s="26">
        <v>25</v>
      </c>
      <c r="T18" s="26">
        <v>14.4</v>
      </c>
      <c r="U18" s="26"/>
      <c r="V18" s="26" t="str">
        <f t="shared" si="4"/>
        <v/>
      </c>
      <c r="W18" s="26">
        <v>14.7</v>
      </c>
      <c r="X18" s="26"/>
      <c r="Y18" s="143" t="str">
        <f t="shared" si="5"/>
        <v/>
      </c>
    </row>
    <row r="19" spans="2:25" x14ac:dyDescent="0.25">
      <c r="B19" s="548"/>
      <c r="C19" s="26">
        <v>30</v>
      </c>
      <c r="D19" s="26">
        <v>22.3</v>
      </c>
      <c r="E19" s="26"/>
      <c r="F19" s="26" t="str">
        <f t="shared" si="0"/>
        <v/>
      </c>
      <c r="G19" s="26">
        <v>23.1</v>
      </c>
      <c r="H19" s="26"/>
      <c r="I19" s="143" t="str">
        <f t="shared" si="1"/>
        <v/>
      </c>
      <c r="J19" s="548"/>
      <c r="K19" s="26">
        <v>30</v>
      </c>
      <c r="L19" s="26">
        <v>19.5</v>
      </c>
      <c r="M19" s="26"/>
      <c r="N19" s="26" t="str">
        <f t="shared" si="2"/>
        <v/>
      </c>
      <c r="O19" s="26">
        <v>20.3</v>
      </c>
      <c r="P19" s="26"/>
      <c r="Q19" s="143" t="str">
        <f t="shared" si="3"/>
        <v/>
      </c>
      <c r="R19" s="548"/>
      <c r="S19" s="26">
        <v>30</v>
      </c>
      <c r="T19" s="26">
        <v>17.600000000000001</v>
      </c>
      <c r="U19" s="26"/>
      <c r="V19" s="26" t="str">
        <f t="shared" si="4"/>
        <v/>
      </c>
      <c r="W19" s="26">
        <v>18.100000000000001</v>
      </c>
      <c r="X19" s="26"/>
      <c r="Y19" s="143" t="str">
        <f t="shared" si="5"/>
        <v/>
      </c>
    </row>
    <row r="20" spans="2:25" x14ac:dyDescent="0.25">
      <c r="B20" s="548"/>
      <c r="C20" s="26">
        <v>45</v>
      </c>
      <c r="D20" s="26">
        <v>30</v>
      </c>
      <c r="E20" s="26"/>
      <c r="F20" s="26" t="str">
        <f t="shared" si="0"/>
        <v/>
      </c>
      <c r="G20" s="26">
        <v>32.6</v>
      </c>
      <c r="H20" s="26"/>
      <c r="I20" s="143" t="str">
        <f t="shared" si="1"/>
        <v/>
      </c>
      <c r="J20" s="548"/>
      <c r="K20" s="26">
        <v>45</v>
      </c>
      <c r="L20" s="26">
        <v>29.4</v>
      </c>
      <c r="M20" s="26"/>
      <c r="N20" s="26" t="str">
        <f t="shared" si="2"/>
        <v/>
      </c>
      <c r="O20" s="26">
        <v>31.6</v>
      </c>
      <c r="P20" s="26"/>
      <c r="Q20" s="143" t="str">
        <f t="shared" si="3"/>
        <v/>
      </c>
      <c r="R20" s="548"/>
      <c r="S20" s="26">
        <v>45</v>
      </c>
      <c r="T20" s="26">
        <v>28.2</v>
      </c>
      <c r="U20" s="26"/>
      <c r="V20" s="26" t="str">
        <f t="shared" si="4"/>
        <v/>
      </c>
      <c r="W20" s="26">
        <v>30.1</v>
      </c>
      <c r="X20" s="26"/>
      <c r="Y20" s="143" t="str">
        <f t="shared" si="5"/>
        <v/>
      </c>
    </row>
    <row r="21" spans="2:25" ht="15.75" thickBot="1" x14ac:dyDescent="0.3">
      <c r="B21" s="549"/>
      <c r="C21" s="29">
        <v>60</v>
      </c>
      <c r="D21" s="29">
        <v>29.6</v>
      </c>
      <c r="E21" s="29"/>
      <c r="F21" s="29" t="str">
        <f t="shared" si="0"/>
        <v/>
      </c>
      <c r="G21" s="29">
        <v>31.6</v>
      </c>
      <c r="H21" s="29"/>
      <c r="I21" s="144" t="str">
        <f t="shared" si="1"/>
        <v/>
      </c>
      <c r="J21" s="549"/>
      <c r="K21" s="29">
        <v>60</v>
      </c>
      <c r="L21" s="29">
        <v>29.8</v>
      </c>
      <c r="M21" s="29"/>
      <c r="N21" s="29" t="str">
        <f t="shared" si="2"/>
        <v/>
      </c>
      <c r="O21" s="29">
        <v>31.7</v>
      </c>
      <c r="P21" s="29"/>
      <c r="Q21" s="144" t="str">
        <f t="shared" si="3"/>
        <v/>
      </c>
      <c r="R21" s="549"/>
      <c r="S21" s="29">
        <v>60</v>
      </c>
      <c r="T21" s="29">
        <v>30.1</v>
      </c>
      <c r="U21" s="29"/>
      <c r="V21" s="29" t="str">
        <f t="shared" si="4"/>
        <v/>
      </c>
      <c r="W21" s="29">
        <v>32</v>
      </c>
      <c r="X21" s="29"/>
      <c r="Y21" s="144" t="str">
        <f t="shared" si="5"/>
        <v/>
      </c>
    </row>
  </sheetData>
  <mergeCells count="4">
    <mergeCell ref="R15:R21"/>
    <mergeCell ref="A1:D3"/>
    <mergeCell ref="B15:B21"/>
    <mergeCell ref="J15:J21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34" zoomScale="90" zoomScaleNormal="90" workbookViewId="0">
      <selection activeCell="B62" sqref="B62"/>
    </sheetView>
  </sheetViews>
  <sheetFormatPr defaultRowHeight="15" x14ac:dyDescent="0.25"/>
  <cols>
    <col min="1" max="1" width="12.85546875" customWidth="1"/>
    <col min="2" max="2" width="10.28515625" customWidth="1"/>
    <col min="3" max="3" width="11" customWidth="1"/>
    <col min="4" max="4" width="10.42578125" customWidth="1"/>
    <col min="6" max="6" width="11.42578125" customWidth="1"/>
    <col min="7" max="7" width="12.42578125" customWidth="1"/>
    <col min="8" max="8" width="11" customWidth="1"/>
  </cols>
  <sheetData>
    <row r="1" spans="1:12" ht="15" customHeight="1" x14ac:dyDescent="0.25">
      <c r="A1" s="556" t="s">
        <v>9</v>
      </c>
      <c r="B1" s="556"/>
      <c r="C1" s="556"/>
      <c r="D1" s="556"/>
    </row>
    <row r="2" spans="1:12" ht="15" customHeight="1" x14ac:dyDescent="0.25">
      <c r="A2" s="556"/>
      <c r="B2" s="556"/>
      <c r="C2" s="556"/>
      <c r="D2" s="556"/>
    </row>
    <row r="3" spans="1:12" ht="15" customHeight="1" x14ac:dyDescent="0.25">
      <c r="A3" s="556"/>
      <c r="B3" s="556"/>
      <c r="C3" s="556"/>
      <c r="D3" s="556"/>
    </row>
    <row r="5" spans="1:12" ht="15.7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t="s">
        <v>176</v>
      </c>
    </row>
    <row r="7" spans="1:12" x14ac:dyDescent="0.25">
      <c r="A7" s="4" t="s">
        <v>140</v>
      </c>
    </row>
    <row r="8" spans="1:12" x14ac:dyDescent="0.25">
      <c r="A8" s="4" t="s">
        <v>141</v>
      </c>
    </row>
    <row r="9" spans="1:12" x14ac:dyDescent="0.25">
      <c r="A9" s="4" t="s">
        <v>36</v>
      </c>
    </row>
    <row r="11" spans="1:12" ht="26.25" thickBot="1" x14ac:dyDescent="0.3">
      <c r="B11" s="13" t="s">
        <v>28</v>
      </c>
      <c r="C11" s="14" t="s">
        <v>25</v>
      </c>
      <c r="D11" s="14" t="s">
        <v>26</v>
      </c>
      <c r="E11" s="14" t="s">
        <v>27</v>
      </c>
      <c r="F11" s="14" t="s">
        <v>29</v>
      </c>
      <c r="G11" s="14" t="s">
        <v>30</v>
      </c>
      <c r="H11" s="12" t="s">
        <v>163</v>
      </c>
    </row>
    <row r="12" spans="1:12" x14ac:dyDescent="0.25">
      <c r="B12" s="9" t="s">
        <v>24</v>
      </c>
      <c r="C12" s="9"/>
      <c r="D12" s="9"/>
      <c r="E12" s="9"/>
      <c r="F12" s="9" t="e">
        <f>AVERAGE(C12:E12)</f>
        <v>#DIV/0!</v>
      </c>
      <c r="G12" s="560" t="e">
        <f>AVERAGE(F13:F14)/F12</f>
        <v>#DIV/0!</v>
      </c>
      <c r="H12" s="560">
        <v>1.4E-2</v>
      </c>
    </row>
    <row r="13" spans="1:12" x14ac:dyDescent="0.25">
      <c r="B13" s="8" t="s">
        <v>34</v>
      </c>
      <c r="C13" s="8"/>
      <c r="D13" s="8"/>
      <c r="E13" s="8"/>
      <c r="F13" s="25" t="e">
        <f t="shared" ref="F13:F14" si="0">AVERAGE(C13:E13)</f>
        <v>#DIV/0!</v>
      </c>
      <c r="G13" s="561"/>
      <c r="H13" s="561"/>
    </row>
    <row r="14" spans="1:12" x14ac:dyDescent="0.25">
      <c r="B14" s="8" t="s">
        <v>35</v>
      </c>
      <c r="C14" s="8"/>
      <c r="D14" s="8"/>
      <c r="E14" s="8"/>
      <c r="F14" s="25" t="e">
        <f t="shared" si="0"/>
        <v>#DIV/0!</v>
      </c>
      <c r="G14" s="561"/>
      <c r="H14" s="561"/>
    </row>
    <row r="15" spans="1:12" x14ac:dyDescent="0.25">
      <c r="B15" s="7"/>
      <c r="C15" s="7"/>
      <c r="D15" s="7"/>
      <c r="E15" s="7"/>
      <c r="F15" s="7"/>
      <c r="G15" s="7"/>
      <c r="H15" s="7"/>
    </row>
    <row r="16" spans="1:12" ht="26.25" thickBot="1" x14ac:dyDescent="0.3">
      <c r="B16" s="13" t="s">
        <v>31</v>
      </c>
      <c r="C16" s="14" t="s">
        <v>25</v>
      </c>
      <c r="D16" s="14" t="s">
        <v>26</v>
      </c>
      <c r="E16" s="14" t="s">
        <v>27</v>
      </c>
      <c r="F16" s="14" t="s">
        <v>29</v>
      </c>
      <c r="G16" s="14" t="s">
        <v>30</v>
      </c>
      <c r="H16" s="12" t="s">
        <v>163</v>
      </c>
    </row>
    <row r="17" spans="2:8" x14ac:dyDescent="0.25">
      <c r="B17" s="9" t="s">
        <v>24</v>
      </c>
      <c r="C17" s="9"/>
      <c r="D17" s="9"/>
      <c r="E17" s="9"/>
      <c r="F17" s="25" t="e">
        <f>AVERAGE(C17:E17)</f>
        <v>#DIV/0!</v>
      </c>
      <c r="G17" s="560" t="e">
        <f>AVERAGE(F18:F19)/F17</f>
        <v>#DIV/0!</v>
      </c>
      <c r="H17" s="560">
        <v>1.1599999999999999E-2</v>
      </c>
    </row>
    <row r="18" spans="2:8" x14ac:dyDescent="0.25">
      <c r="B18" s="8" t="s">
        <v>34</v>
      </c>
      <c r="C18" s="8"/>
      <c r="D18" s="8"/>
      <c r="E18" s="8"/>
      <c r="F18" s="25" t="e">
        <f t="shared" ref="F18:F19" si="1">AVERAGE(C18:E18)</f>
        <v>#DIV/0!</v>
      </c>
      <c r="G18" s="561"/>
      <c r="H18" s="561"/>
    </row>
    <row r="19" spans="2:8" x14ac:dyDescent="0.25">
      <c r="B19" s="8" t="s">
        <v>35</v>
      </c>
      <c r="C19" s="8"/>
      <c r="D19" s="8"/>
      <c r="E19" s="8"/>
      <c r="F19" s="25" t="e">
        <f t="shared" si="1"/>
        <v>#DIV/0!</v>
      </c>
      <c r="G19" s="561"/>
      <c r="H19" s="561"/>
    </row>
    <row r="20" spans="2:8" x14ac:dyDescent="0.25">
      <c r="B20" s="10"/>
      <c r="C20" s="10"/>
      <c r="D20" s="10"/>
      <c r="E20" s="10"/>
      <c r="F20" s="10"/>
      <c r="G20" s="11"/>
      <c r="H20" s="11"/>
    </row>
    <row r="21" spans="2:8" ht="26.25" thickBot="1" x14ac:dyDescent="0.3">
      <c r="B21" s="13" t="s">
        <v>32</v>
      </c>
      <c r="C21" s="14" t="s">
        <v>25</v>
      </c>
      <c r="D21" s="14" t="s">
        <v>26</v>
      </c>
      <c r="E21" s="14" t="s">
        <v>27</v>
      </c>
      <c r="F21" s="14" t="s">
        <v>29</v>
      </c>
      <c r="G21" s="14" t="s">
        <v>30</v>
      </c>
      <c r="H21" s="12" t="s">
        <v>163</v>
      </c>
    </row>
    <row r="22" spans="2:8" x14ac:dyDescent="0.25">
      <c r="B22" s="9" t="s">
        <v>24</v>
      </c>
      <c r="C22" s="9"/>
      <c r="D22" s="9"/>
      <c r="E22" s="9"/>
      <c r="F22" s="25" t="e">
        <f>AVERAGE(C22:E22)</f>
        <v>#DIV/0!</v>
      </c>
      <c r="G22" s="560" t="e">
        <f>AVERAGE(F23:F24)/F22</f>
        <v>#DIV/0!</v>
      </c>
      <c r="H22" s="560">
        <v>1.6799999999999999E-2</v>
      </c>
    </row>
    <row r="23" spans="2:8" x14ac:dyDescent="0.25">
      <c r="B23" s="8" t="s">
        <v>34</v>
      </c>
      <c r="C23" s="8"/>
      <c r="D23" s="8"/>
      <c r="E23" s="8"/>
      <c r="F23" s="25" t="e">
        <f t="shared" ref="F23:F24" si="2">AVERAGE(C23:E23)</f>
        <v>#DIV/0!</v>
      </c>
      <c r="G23" s="561"/>
      <c r="H23" s="561"/>
    </row>
    <row r="24" spans="2:8" x14ac:dyDescent="0.25">
      <c r="B24" s="8" t="s">
        <v>35</v>
      </c>
      <c r="C24" s="8"/>
      <c r="D24" s="8"/>
      <c r="E24" s="8"/>
      <c r="F24" s="25" t="e">
        <f t="shared" si="2"/>
        <v>#DIV/0!</v>
      </c>
      <c r="G24" s="561"/>
      <c r="H24" s="561"/>
    </row>
    <row r="25" spans="2:8" x14ac:dyDescent="0.25">
      <c r="B25" s="114"/>
      <c r="C25" s="114"/>
      <c r="D25" s="114"/>
      <c r="E25" s="114"/>
      <c r="F25" s="114"/>
      <c r="G25" s="11"/>
      <c r="H25" s="11"/>
    </row>
    <row r="26" spans="2:8" ht="26.25" thickBot="1" x14ac:dyDescent="0.3">
      <c r="B26" s="13" t="s">
        <v>162</v>
      </c>
      <c r="C26" s="14" t="s">
        <v>25</v>
      </c>
      <c r="D26" s="14" t="s">
        <v>26</v>
      </c>
      <c r="E26" s="14" t="s">
        <v>27</v>
      </c>
      <c r="F26" s="14" t="s">
        <v>29</v>
      </c>
      <c r="G26" s="14" t="s">
        <v>30</v>
      </c>
      <c r="H26" s="115" t="s">
        <v>163</v>
      </c>
    </row>
    <row r="27" spans="2:8" x14ac:dyDescent="0.25">
      <c r="B27" s="25" t="s">
        <v>24</v>
      </c>
      <c r="C27" s="25"/>
      <c r="D27" s="25"/>
      <c r="E27" s="25"/>
      <c r="F27" s="25" t="e">
        <f>AVERAGE(C27:E27)</f>
        <v>#DIV/0!</v>
      </c>
      <c r="G27" s="560" t="e">
        <f>AVERAGE(F28:F29)/F27</f>
        <v>#DIV/0!</v>
      </c>
      <c r="H27" s="560">
        <v>1.47E-2</v>
      </c>
    </row>
    <row r="28" spans="2:8" x14ac:dyDescent="0.25">
      <c r="B28" s="26" t="s">
        <v>34</v>
      </c>
      <c r="C28" s="26"/>
      <c r="D28" s="26"/>
      <c r="E28" s="26"/>
      <c r="F28" s="25" t="e">
        <f t="shared" ref="F28:F29" si="3">AVERAGE(C28:E28)</f>
        <v>#DIV/0!</v>
      </c>
      <c r="G28" s="561"/>
      <c r="H28" s="561"/>
    </row>
    <row r="29" spans="2:8" x14ac:dyDescent="0.25">
      <c r="B29" s="26" t="s">
        <v>35</v>
      </c>
      <c r="C29" s="26"/>
      <c r="D29" s="26"/>
      <c r="E29" s="26"/>
      <c r="F29" s="25" t="e">
        <f t="shared" si="3"/>
        <v>#DIV/0!</v>
      </c>
      <c r="G29" s="561"/>
      <c r="H29" s="561"/>
    </row>
    <row r="30" spans="2:8" x14ac:dyDescent="0.25">
      <c r="B30" s="10"/>
      <c r="C30" s="10"/>
      <c r="D30" s="10"/>
      <c r="E30" s="10"/>
      <c r="F30" s="10"/>
      <c r="G30" s="11"/>
      <c r="H30" s="11"/>
    </row>
    <row r="31" spans="2:8" ht="26.25" thickBot="1" x14ac:dyDescent="0.3">
      <c r="B31" s="13" t="s">
        <v>33</v>
      </c>
      <c r="C31" s="14" t="s">
        <v>25</v>
      </c>
      <c r="D31" s="14" t="s">
        <v>26</v>
      </c>
      <c r="E31" s="14" t="s">
        <v>27</v>
      </c>
      <c r="F31" s="14" t="s">
        <v>29</v>
      </c>
      <c r="G31" s="14" t="s">
        <v>30</v>
      </c>
      <c r="H31" s="115" t="s">
        <v>163</v>
      </c>
    </row>
    <row r="32" spans="2:8" x14ac:dyDescent="0.25">
      <c r="B32" s="9" t="s">
        <v>24</v>
      </c>
      <c r="C32" s="9"/>
      <c r="D32" s="9"/>
      <c r="E32" s="9"/>
      <c r="F32" s="25" t="e">
        <f>AVERAGE(C32:E32)</f>
        <v>#DIV/0!</v>
      </c>
      <c r="G32" s="560" t="e">
        <f>AVERAGE(F33:F34)/F32</f>
        <v>#DIV/0!</v>
      </c>
      <c r="H32" s="560">
        <v>1.52E-2</v>
      </c>
    </row>
    <row r="33" spans="1:8" x14ac:dyDescent="0.25">
      <c r="B33" s="8" t="s">
        <v>34</v>
      </c>
      <c r="C33" s="8"/>
      <c r="D33" s="8"/>
      <c r="E33" s="8"/>
      <c r="F33" s="25" t="e">
        <f t="shared" ref="F33:F34" si="4">AVERAGE(C33:E33)</f>
        <v>#DIV/0!</v>
      </c>
      <c r="G33" s="561"/>
      <c r="H33" s="561"/>
    </row>
    <row r="34" spans="1:8" x14ac:dyDescent="0.25">
      <c r="B34" s="8" t="s">
        <v>35</v>
      </c>
      <c r="C34" s="8"/>
      <c r="D34" s="8"/>
      <c r="E34" s="8"/>
      <c r="F34" s="25" t="e">
        <f t="shared" si="4"/>
        <v>#DIV/0!</v>
      </c>
      <c r="G34" s="561"/>
      <c r="H34" s="561"/>
    </row>
    <row r="35" spans="1:8" x14ac:dyDescent="0.25">
      <c r="A35" s="7"/>
      <c r="B35" s="7"/>
      <c r="C35" s="7"/>
      <c r="D35" s="7"/>
      <c r="E35" s="7"/>
      <c r="F35" s="7"/>
      <c r="G35" s="7"/>
    </row>
    <row r="36" spans="1:8" x14ac:dyDescent="0.25">
      <c r="A36" t="s">
        <v>177</v>
      </c>
    </row>
    <row r="37" spans="1:8" x14ac:dyDescent="0.25">
      <c r="A37" s="4" t="s">
        <v>173</v>
      </c>
    </row>
    <row r="38" spans="1:8" x14ac:dyDescent="0.25">
      <c r="A38" s="4" t="s">
        <v>174</v>
      </c>
    </row>
    <row r="39" spans="1:8" x14ac:dyDescent="0.25">
      <c r="A39" s="4"/>
      <c r="B39" s="27"/>
    </row>
    <row r="40" spans="1:8" x14ac:dyDescent="0.25">
      <c r="A40" s="4"/>
      <c r="B40" s="27" t="s">
        <v>175</v>
      </c>
    </row>
    <row r="41" spans="1:8" x14ac:dyDescent="0.25">
      <c r="A41" s="4"/>
      <c r="B41" s="31"/>
    </row>
    <row r="43" spans="1:8" x14ac:dyDescent="0.25">
      <c r="A43" t="s">
        <v>178</v>
      </c>
    </row>
    <row r="44" spans="1:8" x14ac:dyDescent="0.25">
      <c r="A44" s="18"/>
    </row>
    <row r="45" spans="1:8" x14ac:dyDescent="0.25">
      <c r="B45" s="27" t="s">
        <v>161</v>
      </c>
    </row>
    <row r="48" spans="1:8" x14ac:dyDescent="0.25">
      <c r="A48" t="s">
        <v>179</v>
      </c>
    </row>
    <row r="49" spans="1:3" x14ac:dyDescent="0.25">
      <c r="A49" s="4" t="s">
        <v>180</v>
      </c>
    </row>
    <row r="50" spans="1:3" x14ac:dyDescent="0.25">
      <c r="A50" s="4" t="s">
        <v>181</v>
      </c>
    </row>
    <row r="51" spans="1:3" x14ac:dyDescent="0.25">
      <c r="A51" s="4"/>
    </row>
    <row r="52" spans="1:3" x14ac:dyDescent="0.25">
      <c r="A52" s="4"/>
      <c r="B52" s="3" t="s">
        <v>175</v>
      </c>
    </row>
    <row r="53" spans="1:3" x14ac:dyDescent="0.25">
      <c r="A53" s="4"/>
      <c r="B53" s="31"/>
    </row>
    <row r="54" spans="1:3" x14ac:dyDescent="0.25">
      <c r="A54" s="4"/>
    </row>
    <row r="55" spans="1:3" x14ac:dyDescent="0.25">
      <c r="A55" t="s">
        <v>10</v>
      </c>
    </row>
    <row r="56" spans="1:3" x14ac:dyDescent="0.25">
      <c r="B56" s="18" t="s">
        <v>11</v>
      </c>
    </row>
    <row r="57" spans="1:3" x14ac:dyDescent="0.25">
      <c r="B57" s="18" t="s">
        <v>12</v>
      </c>
    </row>
    <row r="58" spans="1:3" x14ac:dyDescent="0.25">
      <c r="A58" s="4" t="s">
        <v>83</v>
      </c>
    </row>
    <row r="59" spans="1:3" x14ac:dyDescent="0.25">
      <c r="A59" s="4" t="s">
        <v>182</v>
      </c>
    </row>
    <row r="60" spans="1:3" x14ac:dyDescent="0.25">
      <c r="A60" s="4"/>
    </row>
    <row r="61" spans="1:3" x14ac:dyDescent="0.25">
      <c r="A61" s="4"/>
      <c r="B61" s="27" t="s">
        <v>84</v>
      </c>
    </row>
    <row r="62" spans="1:3" x14ac:dyDescent="0.25">
      <c r="A62" s="4"/>
      <c r="B62" s="31"/>
    </row>
    <row r="63" spans="1:3" x14ac:dyDescent="0.25">
      <c r="A63" s="4"/>
      <c r="B63" s="28"/>
      <c r="C63" s="28"/>
    </row>
    <row r="64" spans="1:3" x14ac:dyDescent="0.25">
      <c r="C64" s="7"/>
    </row>
  </sheetData>
  <mergeCells count="11">
    <mergeCell ref="G22:G24"/>
    <mergeCell ref="H22:H24"/>
    <mergeCell ref="G32:G34"/>
    <mergeCell ref="H32:H34"/>
    <mergeCell ref="A1:D3"/>
    <mergeCell ref="G12:G14"/>
    <mergeCell ref="H12:H14"/>
    <mergeCell ref="G17:G19"/>
    <mergeCell ref="H17:H19"/>
    <mergeCell ref="G27:G29"/>
    <mergeCell ref="H27:H29"/>
  </mergeCell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zoomScaleNormal="100" workbookViewId="0">
      <selection activeCell="E11" sqref="E11:F11"/>
    </sheetView>
  </sheetViews>
  <sheetFormatPr defaultRowHeight="15" x14ac:dyDescent="0.25"/>
  <cols>
    <col min="1" max="1" width="17.28515625" customWidth="1"/>
    <col min="2" max="2" width="9.85546875" customWidth="1"/>
    <col min="3" max="3" width="7.85546875" customWidth="1"/>
  </cols>
  <sheetData>
    <row r="1" spans="1:12" ht="15" customHeight="1" x14ac:dyDescent="0.25">
      <c r="A1" s="556" t="s">
        <v>13</v>
      </c>
      <c r="B1" s="556"/>
      <c r="C1" s="556"/>
      <c r="D1" s="556"/>
    </row>
    <row r="2" spans="1:12" ht="15" customHeight="1" x14ac:dyDescent="0.25">
      <c r="A2" s="556"/>
      <c r="B2" s="556"/>
      <c r="C2" s="556"/>
      <c r="D2" s="556"/>
    </row>
    <row r="3" spans="1:12" ht="15" customHeight="1" x14ac:dyDescent="0.25">
      <c r="A3" s="556"/>
      <c r="B3" s="556"/>
      <c r="C3" s="556"/>
      <c r="D3" s="556"/>
    </row>
    <row r="5" spans="1:12" ht="15.7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3" t="s">
        <v>14</v>
      </c>
    </row>
    <row r="7" spans="1:12" x14ac:dyDescent="0.25">
      <c r="A7" t="s">
        <v>15</v>
      </c>
    </row>
    <row r="8" spans="1:12" x14ac:dyDescent="0.25">
      <c r="A8" s="4" t="s">
        <v>112</v>
      </c>
    </row>
    <row r="9" spans="1:12" x14ac:dyDescent="0.25">
      <c r="A9" s="4" t="s">
        <v>113</v>
      </c>
    </row>
    <row r="10" spans="1:12" ht="9" customHeight="1" x14ac:dyDescent="0.25">
      <c r="A10" s="4"/>
    </row>
    <row r="11" spans="1:12" ht="51.75" customHeight="1" thickBot="1" x14ac:dyDescent="0.3">
      <c r="B11" s="12" t="s">
        <v>37</v>
      </c>
      <c r="C11" s="522" t="s">
        <v>39</v>
      </c>
      <c r="D11" s="522"/>
      <c r="E11" s="522" t="s">
        <v>38</v>
      </c>
      <c r="F11" s="522"/>
      <c r="G11" s="4"/>
      <c r="H11" s="4"/>
      <c r="I11" s="4"/>
      <c r="J11" s="4"/>
      <c r="K11" s="4"/>
    </row>
    <row r="12" spans="1:12" x14ac:dyDescent="0.25">
      <c r="B12" s="564">
        <v>0</v>
      </c>
      <c r="C12" s="69" t="s">
        <v>40</v>
      </c>
      <c r="D12" s="70">
        <v>19</v>
      </c>
      <c r="E12" s="68" t="s">
        <v>40</v>
      </c>
      <c r="F12" s="63"/>
      <c r="G12" s="4"/>
      <c r="H12" s="4"/>
      <c r="I12" s="4"/>
      <c r="J12" s="4"/>
      <c r="K12" s="4"/>
    </row>
    <row r="13" spans="1:12" x14ac:dyDescent="0.25">
      <c r="B13" s="562"/>
      <c r="C13" s="71" t="s">
        <v>41</v>
      </c>
      <c r="D13" s="72">
        <v>19</v>
      </c>
      <c r="E13" s="66" t="s">
        <v>41</v>
      </c>
      <c r="F13" s="64"/>
      <c r="G13" s="4"/>
      <c r="H13" s="4"/>
      <c r="I13" s="4"/>
      <c r="J13" s="4"/>
      <c r="K13" s="4"/>
    </row>
    <row r="14" spans="1:12" x14ac:dyDescent="0.25">
      <c r="B14" s="562">
        <v>-20</v>
      </c>
      <c r="C14" s="73" t="s">
        <v>40</v>
      </c>
      <c r="D14" s="74">
        <v>15</v>
      </c>
      <c r="E14" s="66" t="s">
        <v>40</v>
      </c>
      <c r="F14" s="64"/>
      <c r="G14" s="4"/>
      <c r="H14" s="4"/>
      <c r="I14" s="4"/>
      <c r="J14" s="4"/>
      <c r="K14" s="4"/>
    </row>
    <row r="15" spans="1:12" x14ac:dyDescent="0.25">
      <c r="B15" s="562"/>
      <c r="C15" s="71" t="s">
        <v>41</v>
      </c>
      <c r="D15" s="72">
        <v>15</v>
      </c>
      <c r="E15" s="66" t="s">
        <v>41</v>
      </c>
      <c r="F15" s="64"/>
      <c r="G15" s="4"/>
      <c r="H15" s="4"/>
      <c r="I15" s="4"/>
      <c r="J15" s="4"/>
      <c r="K15" s="4"/>
    </row>
    <row r="16" spans="1:12" x14ac:dyDescent="0.25">
      <c r="B16" s="562">
        <v>-40</v>
      </c>
      <c r="C16" s="73" t="s">
        <v>40</v>
      </c>
      <c r="D16" s="74">
        <v>12</v>
      </c>
      <c r="E16" s="66" t="s">
        <v>40</v>
      </c>
      <c r="F16" s="64"/>
      <c r="G16" s="4"/>
      <c r="H16" s="4"/>
      <c r="I16" s="4"/>
      <c r="J16" s="4"/>
      <c r="K16" s="4"/>
    </row>
    <row r="17" spans="1:11" x14ac:dyDescent="0.25">
      <c r="B17" s="562"/>
      <c r="C17" s="71" t="s">
        <v>41</v>
      </c>
      <c r="D17" s="72">
        <v>12</v>
      </c>
      <c r="E17" s="66" t="s">
        <v>41</v>
      </c>
      <c r="F17" s="64"/>
      <c r="G17" s="4"/>
      <c r="H17" s="4"/>
      <c r="I17" s="4"/>
      <c r="J17" s="4"/>
      <c r="K17" s="4"/>
    </row>
    <row r="18" spans="1:11" x14ac:dyDescent="0.25">
      <c r="B18" s="562">
        <v>-60</v>
      </c>
      <c r="C18" s="73" t="s">
        <v>40</v>
      </c>
      <c r="D18" s="74">
        <v>11</v>
      </c>
      <c r="E18" s="66" t="s">
        <v>40</v>
      </c>
      <c r="F18" s="64"/>
      <c r="G18" s="4"/>
      <c r="H18" s="4"/>
      <c r="I18" s="4"/>
      <c r="J18" s="4"/>
      <c r="K18" s="4"/>
    </row>
    <row r="19" spans="1:11" ht="15.75" thickBot="1" x14ac:dyDescent="0.3">
      <c r="B19" s="563"/>
      <c r="C19" s="75" t="s">
        <v>41</v>
      </c>
      <c r="D19" s="76">
        <v>11</v>
      </c>
      <c r="E19" s="67" t="s">
        <v>41</v>
      </c>
      <c r="F19" s="65"/>
      <c r="G19" s="4"/>
      <c r="H19" s="4"/>
      <c r="I19" s="4"/>
      <c r="J19" s="4"/>
      <c r="K19" s="4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1" x14ac:dyDescent="0.25">
      <c r="A21" t="s">
        <v>16</v>
      </c>
    </row>
    <row r="22" spans="1:11" x14ac:dyDescent="0.25">
      <c r="A22" s="4" t="s">
        <v>42</v>
      </c>
      <c r="B22" s="4"/>
      <c r="C22" s="4"/>
      <c r="D22" s="4"/>
      <c r="E22" s="4"/>
      <c r="F22" s="4"/>
      <c r="G22" s="4"/>
    </row>
    <row r="23" spans="1:11" x14ac:dyDescent="0.25">
      <c r="A23" s="4" t="s">
        <v>46</v>
      </c>
      <c r="B23" s="4"/>
      <c r="C23" s="4"/>
      <c r="D23" s="4"/>
      <c r="E23" s="4"/>
      <c r="F23" s="4"/>
      <c r="G23" s="4"/>
    </row>
    <row r="24" spans="1:11" x14ac:dyDescent="0.25">
      <c r="A24" s="5" t="s">
        <v>43</v>
      </c>
      <c r="B24" s="4" t="s">
        <v>44</v>
      </c>
      <c r="C24" s="4"/>
      <c r="D24" s="4"/>
      <c r="E24" s="4"/>
      <c r="F24" s="4"/>
      <c r="G24" s="4"/>
    </row>
    <row r="25" spans="1:11" x14ac:dyDescent="0.25">
      <c r="A25" s="5"/>
      <c r="B25" s="4"/>
      <c r="C25" s="4"/>
      <c r="D25" s="4"/>
      <c r="E25" s="4"/>
      <c r="F25" s="4"/>
      <c r="G25" s="4"/>
    </row>
    <row r="26" spans="1:11" x14ac:dyDescent="0.25">
      <c r="A26" s="5"/>
      <c r="B26" s="4"/>
      <c r="C26" s="4"/>
      <c r="D26" s="4"/>
      <c r="E26" s="4"/>
      <c r="F26" s="4"/>
      <c r="G26" s="4"/>
    </row>
    <row r="27" spans="1:11" x14ac:dyDescent="0.25">
      <c r="A27" s="4"/>
      <c r="B27" s="4"/>
      <c r="C27" s="4"/>
      <c r="D27" s="4"/>
      <c r="E27" s="4"/>
      <c r="F27" s="4"/>
      <c r="G27" s="4"/>
    </row>
    <row r="28" spans="1:11" x14ac:dyDescent="0.25">
      <c r="A28" s="4"/>
      <c r="B28" s="4"/>
      <c r="C28" s="4"/>
      <c r="D28" s="4"/>
      <c r="E28" s="4"/>
      <c r="F28" s="4"/>
      <c r="G28" s="4"/>
    </row>
    <row r="29" spans="1:11" x14ac:dyDescent="0.25">
      <c r="A29" s="3" t="s">
        <v>17</v>
      </c>
    </row>
    <row r="30" spans="1:11" x14ac:dyDescent="0.25">
      <c r="A30" t="s">
        <v>18</v>
      </c>
    </row>
    <row r="34" spans="1:1" x14ac:dyDescent="0.25">
      <c r="A34" t="s">
        <v>19</v>
      </c>
    </row>
    <row r="35" spans="1:1" x14ac:dyDescent="0.25">
      <c r="A35" s="4" t="s">
        <v>42</v>
      </c>
    </row>
    <row r="36" spans="1:1" x14ac:dyDescent="0.25">
      <c r="A36" s="4" t="s">
        <v>45</v>
      </c>
    </row>
    <row r="37" spans="1:1" x14ac:dyDescent="0.25">
      <c r="A37" s="4"/>
    </row>
    <row r="39" spans="1:1" x14ac:dyDescent="0.25">
      <c r="A39" s="3" t="s">
        <v>20</v>
      </c>
    </row>
    <row r="40" spans="1:1" x14ac:dyDescent="0.25">
      <c r="A40" t="s">
        <v>21</v>
      </c>
    </row>
    <row r="41" spans="1:1" x14ac:dyDescent="0.25">
      <c r="A41" s="4" t="s">
        <v>42</v>
      </c>
    </row>
    <row r="42" spans="1:1" x14ac:dyDescent="0.25">
      <c r="A42" s="4" t="s">
        <v>47</v>
      </c>
    </row>
  </sheetData>
  <mergeCells count="7">
    <mergeCell ref="B18:B19"/>
    <mergeCell ref="C11:D11"/>
    <mergeCell ref="E11:F11"/>
    <mergeCell ref="A1:D3"/>
    <mergeCell ref="B12:B13"/>
    <mergeCell ref="B14:B15"/>
    <mergeCell ref="B16:B17"/>
  </mergeCell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1"/>
  <sheetViews>
    <sheetView topLeftCell="A37" workbookViewId="0">
      <selection activeCell="D60" sqref="D60"/>
    </sheetView>
  </sheetViews>
  <sheetFormatPr defaultRowHeight="15.75" x14ac:dyDescent="0.25"/>
  <cols>
    <col min="1" max="1" width="9.140625" style="299"/>
    <col min="2" max="2" width="6.7109375" style="299" customWidth="1"/>
    <col min="3" max="3" width="19.5703125" style="299" bestFit="1" customWidth="1"/>
    <col min="4" max="4" width="12.42578125" style="299" customWidth="1"/>
    <col min="5" max="5" width="14.85546875" style="299" bestFit="1" customWidth="1"/>
    <col min="6" max="6" width="8.85546875" style="299" customWidth="1"/>
    <col min="7" max="7" width="17.28515625" style="299" bestFit="1" customWidth="1"/>
    <col min="8" max="8" width="9.140625" style="299"/>
    <col min="9" max="9" width="10.7109375" style="299" bestFit="1" customWidth="1"/>
    <col min="10" max="16384" width="9.140625" style="299"/>
  </cols>
  <sheetData>
    <row r="1" spans="2:10" ht="16.5" thickBot="1" x14ac:dyDescent="0.3"/>
    <row r="2" spans="2:10" ht="15" customHeight="1" x14ac:dyDescent="0.25">
      <c r="B2" s="577" t="s">
        <v>227</v>
      </c>
      <c r="C2" s="578"/>
      <c r="D2" s="578"/>
      <c r="E2" s="578"/>
      <c r="F2" s="578"/>
      <c r="G2" s="578"/>
      <c r="H2" s="578"/>
      <c r="I2" s="578"/>
      <c r="J2" s="579"/>
    </row>
    <row r="3" spans="2:10" ht="15" customHeight="1" x14ac:dyDescent="0.25">
      <c r="B3" s="580"/>
      <c r="C3" s="556"/>
      <c r="D3" s="556"/>
      <c r="E3" s="556"/>
      <c r="F3" s="556"/>
      <c r="G3" s="556"/>
      <c r="H3" s="556"/>
      <c r="I3" s="556"/>
      <c r="J3" s="581"/>
    </row>
    <row r="4" spans="2:10" ht="15" customHeight="1" x14ac:dyDescent="0.25">
      <c r="B4" s="300"/>
      <c r="C4" s="301"/>
      <c r="D4" s="301"/>
      <c r="E4" s="301"/>
      <c r="J4" s="302"/>
    </row>
    <row r="5" spans="2:10" x14ac:dyDescent="0.25">
      <c r="B5" s="303"/>
      <c r="C5" s="582" t="s">
        <v>312</v>
      </c>
      <c r="D5" s="583"/>
      <c r="G5" s="304" t="s">
        <v>228</v>
      </c>
      <c r="H5" s="305"/>
      <c r="J5" s="302"/>
    </row>
    <row r="6" spans="2:10" x14ac:dyDescent="0.25">
      <c r="B6" s="306"/>
      <c r="C6" s="307" t="s">
        <v>313</v>
      </c>
      <c r="D6" s="308" t="s">
        <v>229</v>
      </c>
      <c r="J6" s="302"/>
    </row>
    <row r="7" spans="2:10" x14ac:dyDescent="0.25">
      <c r="B7" s="306"/>
      <c r="C7" s="309" t="s">
        <v>314</v>
      </c>
      <c r="D7" s="308" t="s">
        <v>315</v>
      </c>
      <c r="G7" s="310" t="s">
        <v>316</v>
      </c>
      <c r="H7" s="311">
        <v>22</v>
      </c>
      <c r="J7" s="302"/>
    </row>
    <row r="8" spans="2:10" x14ac:dyDescent="0.25">
      <c r="B8" s="306"/>
      <c r="C8" s="309" t="s">
        <v>317</v>
      </c>
      <c r="D8" s="308" t="s">
        <v>318</v>
      </c>
      <c r="G8" s="312" t="s">
        <v>230</v>
      </c>
      <c r="H8" s="311">
        <v>760</v>
      </c>
      <c r="J8" s="302"/>
    </row>
    <row r="9" spans="2:10" ht="19.5" x14ac:dyDescent="0.35">
      <c r="B9" s="306"/>
      <c r="C9" s="309" t="s">
        <v>319</v>
      </c>
      <c r="D9" s="308" t="s">
        <v>320</v>
      </c>
      <c r="G9" s="313" t="s">
        <v>321</v>
      </c>
      <c r="H9" s="314">
        <f>IF(ISNUMBER((760/H8)*(273.2+H7)/(295.2)),(760/H8)*(273.2+H7)/(295.2),"")</f>
        <v>1</v>
      </c>
      <c r="J9" s="302"/>
    </row>
    <row r="10" spans="2:10" x14ac:dyDescent="0.25">
      <c r="B10" s="306"/>
      <c r="C10" s="309" t="s">
        <v>260</v>
      </c>
      <c r="D10" s="308">
        <v>100</v>
      </c>
      <c r="J10" s="302"/>
    </row>
    <row r="11" spans="2:10" x14ac:dyDescent="0.25">
      <c r="B11" s="306"/>
      <c r="C11" s="309" t="s">
        <v>65</v>
      </c>
      <c r="D11" s="308">
        <v>100</v>
      </c>
      <c r="J11" s="302"/>
    </row>
    <row r="12" spans="2:10" x14ac:dyDescent="0.25">
      <c r="B12" s="306"/>
      <c r="C12" s="315" t="s">
        <v>322</v>
      </c>
      <c r="D12" s="308" t="str">
        <f>"+300V"</f>
        <v>+300V</v>
      </c>
      <c r="J12" s="302"/>
    </row>
    <row r="13" spans="2:10" x14ac:dyDescent="0.25">
      <c r="B13" s="306"/>
      <c r="C13" s="316"/>
      <c r="J13" s="302"/>
    </row>
    <row r="14" spans="2:10" x14ac:dyDescent="0.25">
      <c r="B14" s="306"/>
      <c r="D14" s="316"/>
      <c r="E14" s="565" t="s">
        <v>323</v>
      </c>
      <c r="F14" s="566"/>
      <c r="G14" s="565" t="s">
        <v>324</v>
      </c>
      <c r="H14" s="566"/>
      <c r="J14" s="302"/>
    </row>
    <row r="15" spans="2:10" x14ac:dyDescent="0.25">
      <c r="B15" s="306"/>
      <c r="E15" s="584" t="s">
        <v>325</v>
      </c>
      <c r="F15" s="585"/>
      <c r="G15" s="584" t="s">
        <v>236</v>
      </c>
      <c r="H15" s="585"/>
      <c r="I15" s="338" t="s">
        <v>237</v>
      </c>
      <c r="J15" s="302"/>
    </row>
    <row r="16" spans="2:10" x14ac:dyDescent="0.25">
      <c r="B16" s="306"/>
      <c r="C16" s="573" t="s">
        <v>326</v>
      </c>
      <c r="D16" s="574" t="s">
        <v>231</v>
      </c>
      <c r="E16" s="317" t="s">
        <v>232</v>
      </c>
      <c r="F16" s="318"/>
      <c r="G16" s="304" t="s">
        <v>232</v>
      </c>
      <c r="H16" s="318"/>
      <c r="I16" s="567" t="str">
        <f>IF(ISNUMBER(H19/F19),H19/F19,"")</f>
        <v/>
      </c>
      <c r="J16" s="302"/>
    </row>
    <row r="17" spans="2:10" x14ac:dyDescent="0.25">
      <c r="B17" s="306"/>
      <c r="C17" s="573"/>
      <c r="D17" s="575"/>
      <c r="E17" s="317" t="s">
        <v>233</v>
      </c>
      <c r="F17" s="318"/>
      <c r="G17" s="304" t="s">
        <v>233</v>
      </c>
      <c r="H17" s="318"/>
      <c r="I17" s="568"/>
      <c r="J17" s="302"/>
    </row>
    <row r="18" spans="2:10" x14ac:dyDescent="0.25">
      <c r="B18" s="306"/>
      <c r="C18" s="573"/>
      <c r="D18" s="575"/>
      <c r="E18" s="317" t="s">
        <v>234</v>
      </c>
      <c r="F18" s="318"/>
      <c r="G18" s="304" t="s">
        <v>234</v>
      </c>
      <c r="H18" s="318"/>
      <c r="I18" s="568"/>
      <c r="J18" s="302"/>
    </row>
    <row r="19" spans="2:10" x14ac:dyDescent="0.25">
      <c r="B19" s="306"/>
      <c r="C19" s="573"/>
      <c r="D19" s="576"/>
      <c r="E19" s="319" t="s">
        <v>235</v>
      </c>
      <c r="F19" s="320" t="str">
        <f>IF(ISNUMBER($H$9*AVERAGE(F16:F18)),$H$9*AVERAGE(F16:F18),"")</f>
        <v/>
      </c>
      <c r="G19" s="321" t="s">
        <v>235</v>
      </c>
      <c r="H19" s="320" t="str">
        <f>IF(ISNUMBER($H$9*AVERAGE(H16:H18)),$H$9*AVERAGE(H16:H18),"")</f>
        <v/>
      </c>
      <c r="I19" s="569"/>
      <c r="J19" s="302"/>
    </row>
    <row r="20" spans="2:10" x14ac:dyDescent="0.25">
      <c r="B20" s="306"/>
      <c r="C20" s="573" t="s">
        <v>327</v>
      </c>
      <c r="D20" s="586" t="s">
        <v>238</v>
      </c>
      <c r="E20" s="317" t="s">
        <v>232</v>
      </c>
      <c r="F20" s="318"/>
      <c r="G20" s="317" t="s">
        <v>232</v>
      </c>
      <c r="H20" s="318"/>
      <c r="I20" s="567" t="str">
        <f>IF(ISNUMBER(H23/F23),H23/F23,"")</f>
        <v/>
      </c>
      <c r="J20" s="302"/>
    </row>
    <row r="21" spans="2:10" x14ac:dyDescent="0.25">
      <c r="B21" s="306"/>
      <c r="C21" s="573"/>
      <c r="D21" s="587"/>
      <c r="E21" s="317" t="s">
        <v>233</v>
      </c>
      <c r="F21" s="318"/>
      <c r="G21" s="317" t="s">
        <v>233</v>
      </c>
      <c r="H21" s="318"/>
      <c r="I21" s="568"/>
      <c r="J21" s="302"/>
    </row>
    <row r="22" spans="2:10" x14ac:dyDescent="0.25">
      <c r="B22" s="306"/>
      <c r="C22" s="573"/>
      <c r="D22" s="587"/>
      <c r="E22" s="317" t="s">
        <v>234</v>
      </c>
      <c r="F22" s="318"/>
      <c r="G22" s="317" t="s">
        <v>234</v>
      </c>
      <c r="H22" s="318"/>
      <c r="I22" s="568"/>
      <c r="J22" s="302"/>
    </row>
    <row r="23" spans="2:10" x14ac:dyDescent="0.25">
      <c r="B23" s="306"/>
      <c r="C23" s="573"/>
      <c r="D23" s="588"/>
      <c r="E23" s="319" t="s">
        <v>235</v>
      </c>
      <c r="F23" s="320" t="str">
        <f>IF(ISNUMBER($H$9*AVERAGE(F20:F22)),$H$9*AVERAGE(F20:F22),"")</f>
        <v/>
      </c>
      <c r="G23" s="319" t="s">
        <v>235</v>
      </c>
      <c r="H23" s="320" t="str">
        <f>IF(ISNUMBER($H$9*AVERAGE(H20:H22)),$H$9*AVERAGE(H20:H22),"")</f>
        <v/>
      </c>
      <c r="I23" s="569"/>
      <c r="J23" s="302"/>
    </row>
    <row r="24" spans="2:10" ht="16.5" thickBot="1" x14ac:dyDescent="0.3">
      <c r="B24" s="322"/>
      <c r="C24" s="323"/>
      <c r="D24" s="323"/>
      <c r="E24" s="323"/>
      <c r="F24" s="323"/>
      <c r="G24" s="323"/>
      <c r="H24" s="323"/>
      <c r="I24" s="323"/>
      <c r="J24" s="324"/>
    </row>
    <row r="25" spans="2:10" ht="16.5" thickBot="1" x14ac:dyDescent="0.3"/>
    <row r="26" spans="2:10" x14ac:dyDescent="0.25">
      <c r="B26" s="577" t="s">
        <v>328</v>
      </c>
      <c r="C26" s="578"/>
      <c r="D26" s="578"/>
      <c r="E26" s="578"/>
      <c r="F26" s="578"/>
      <c r="G26" s="578"/>
      <c r="H26" s="578"/>
      <c r="I26" s="578"/>
      <c r="J26" s="579"/>
    </row>
    <row r="27" spans="2:10" x14ac:dyDescent="0.25">
      <c r="B27" s="580"/>
      <c r="C27" s="556"/>
      <c r="D27" s="556"/>
      <c r="E27" s="556"/>
      <c r="F27" s="556"/>
      <c r="G27" s="556"/>
      <c r="H27" s="556"/>
      <c r="I27" s="556"/>
      <c r="J27" s="581"/>
    </row>
    <row r="28" spans="2:10" x14ac:dyDescent="0.25">
      <c r="B28" s="300"/>
      <c r="C28" s="301"/>
      <c r="D28" s="301"/>
      <c r="E28" s="301"/>
      <c r="H28" s="304" t="s">
        <v>228</v>
      </c>
      <c r="I28" s="325">
        <v>45717</v>
      </c>
      <c r="J28" s="302"/>
    </row>
    <row r="29" spans="2:10" x14ac:dyDescent="0.25">
      <c r="B29" s="306"/>
      <c r="C29" s="326" t="s">
        <v>329</v>
      </c>
      <c r="D29" s="326" t="s">
        <v>330</v>
      </c>
      <c r="E29" s="326" t="s">
        <v>331</v>
      </c>
      <c r="F29" s="571" t="s">
        <v>332</v>
      </c>
      <c r="G29" s="571"/>
      <c r="H29" s="304" t="s">
        <v>333</v>
      </c>
      <c r="I29" s="327">
        <v>0.50277777777777777</v>
      </c>
      <c r="J29" s="302"/>
    </row>
    <row r="30" spans="2:10" x14ac:dyDescent="0.25">
      <c r="B30" s="306"/>
      <c r="C30" s="305" t="s">
        <v>334</v>
      </c>
      <c r="D30" s="328">
        <v>0.49444444444444446</v>
      </c>
      <c r="E30" s="305"/>
      <c r="F30" s="572" t="s">
        <v>335</v>
      </c>
      <c r="G30" s="572"/>
      <c r="H30" s="304"/>
      <c r="I30" s="329"/>
      <c r="J30" s="302"/>
    </row>
    <row r="31" spans="2:10" x14ac:dyDescent="0.25">
      <c r="B31" s="306"/>
      <c r="C31" s="305" t="s">
        <v>336</v>
      </c>
      <c r="D31" s="318">
        <v>30.3</v>
      </c>
      <c r="E31" s="305" t="s">
        <v>337</v>
      </c>
      <c r="F31" s="565" t="s">
        <v>338</v>
      </c>
      <c r="G31" s="566"/>
      <c r="J31" s="302"/>
    </row>
    <row r="32" spans="2:10" x14ac:dyDescent="0.25">
      <c r="B32" s="306"/>
      <c r="C32" s="305" t="s">
        <v>336</v>
      </c>
      <c r="D32" s="330">
        <f>D31*25.4</f>
        <v>769.62</v>
      </c>
      <c r="E32" s="305" t="s">
        <v>339</v>
      </c>
      <c r="F32" s="565" t="s">
        <v>338</v>
      </c>
      <c r="G32" s="566"/>
      <c r="J32" s="302"/>
    </row>
    <row r="33" spans="2:10" x14ac:dyDescent="0.25">
      <c r="B33" s="306"/>
      <c r="C33" s="305" t="s">
        <v>336</v>
      </c>
      <c r="D33" s="330">
        <f>D32*(1-(0.0065*D34)/288.15)^5.2561</f>
        <v>742.90222559513211</v>
      </c>
      <c r="E33" s="305" t="s">
        <v>339</v>
      </c>
      <c r="F33" s="565" t="s">
        <v>340</v>
      </c>
      <c r="G33" s="566"/>
      <c r="J33" s="302"/>
    </row>
    <row r="34" spans="2:10" x14ac:dyDescent="0.25">
      <c r="B34" s="306"/>
      <c r="C34" s="305" t="s">
        <v>341</v>
      </c>
      <c r="D34" s="339">
        <f>D44</f>
        <v>297</v>
      </c>
      <c r="E34" s="305" t="s">
        <v>342</v>
      </c>
      <c r="F34" s="570" t="s">
        <v>343</v>
      </c>
      <c r="G34" s="570"/>
      <c r="J34" s="302"/>
    </row>
    <row r="35" spans="2:10" x14ac:dyDescent="0.25">
      <c r="B35" s="306"/>
      <c r="C35" s="305" t="s">
        <v>344</v>
      </c>
      <c r="D35" s="331" t="s">
        <v>345</v>
      </c>
      <c r="E35" s="305"/>
      <c r="F35" s="565" t="s">
        <v>346</v>
      </c>
      <c r="G35" s="566"/>
      <c r="J35" s="302"/>
    </row>
    <row r="36" spans="2:10" x14ac:dyDescent="0.25">
      <c r="B36" s="306"/>
      <c r="C36" s="305" t="s">
        <v>347</v>
      </c>
      <c r="D36" s="331">
        <f>IF(ISBLANK(D35),"",INDEX(D44:D47,MATCH(D35,C44:C47,0)))</f>
        <v>327</v>
      </c>
      <c r="E36" s="305" t="s">
        <v>342</v>
      </c>
      <c r="F36" s="570" t="s">
        <v>343</v>
      </c>
      <c r="G36" s="570"/>
      <c r="J36" s="302"/>
    </row>
    <row r="37" spans="2:10" x14ac:dyDescent="0.25">
      <c r="B37" s="306"/>
      <c r="C37" s="305" t="s">
        <v>348</v>
      </c>
      <c r="D37" s="330">
        <f>IF(ISBLANK(D35),"",D32*(1-(0.0065*D36)/288.15)^5.2561)</f>
        <v>740.24577937996003</v>
      </c>
      <c r="E37" s="305" t="s">
        <v>349</v>
      </c>
      <c r="F37" s="570"/>
      <c r="G37" s="570"/>
      <c r="J37" s="302"/>
    </row>
    <row r="38" spans="2:10" x14ac:dyDescent="0.25">
      <c r="B38" s="306"/>
      <c r="C38" s="305" t="s">
        <v>368</v>
      </c>
      <c r="D38" s="318">
        <v>740.2</v>
      </c>
      <c r="E38" s="305" t="s">
        <v>349</v>
      </c>
      <c r="F38" s="570" t="s">
        <v>356</v>
      </c>
      <c r="G38" s="570"/>
      <c r="J38" s="302"/>
    </row>
    <row r="39" spans="2:10" x14ac:dyDescent="0.25">
      <c r="B39" s="306"/>
      <c r="C39" s="305" t="s">
        <v>369</v>
      </c>
      <c r="D39" s="318">
        <v>738.9</v>
      </c>
      <c r="E39" s="305" t="s">
        <v>349</v>
      </c>
      <c r="F39" s="565" t="s">
        <v>370</v>
      </c>
      <c r="G39" s="566"/>
      <c r="J39" s="302"/>
    </row>
    <row r="40" spans="2:10" x14ac:dyDescent="0.25">
      <c r="B40" s="306"/>
      <c r="C40" s="305" t="s">
        <v>371</v>
      </c>
      <c r="D40" s="343">
        <f>IF(ISNUMBER(100*(D38-D$37)/D$37),100*(D38-D$37)/D$37,"")</f>
        <v>-6.1843486629976742E-3</v>
      </c>
      <c r="E40" s="305" t="s">
        <v>351</v>
      </c>
      <c r="F40" s="570" t="s">
        <v>357</v>
      </c>
      <c r="G40" s="570"/>
      <c r="J40" s="302"/>
    </row>
    <row r="41" spans="2:10" x14ac:dyDescent="0.25">
      <c r="B41" s="306"/>
      <c r="C41" s="305" t="s">
        <v>372</v>
      </c>
      <c r="D41" s="343">
        <f>IF(ISNUMBER(100*(D39-D$37)/D$37),100*(D39-D$37)/D$37,"")</f>
        <v>-0.1818016957945093</v>
      </c>
      <c r="E41" s="305" t="s">
        <v>351</v>
      </c>
      <c r="F41" s="570" t="s">
        <v>357</v>
      </c>
      <c r="G41" s="570"/>
      <c r="J41" s="302"/>
    </row>
    <row r="42" spans="2:10" x14ac:dyDescent="0.25">
      <c r="B42" s="306"/>
      <c r="J42" s="302"/>
    </row>
    <row r="43" spans="2:10" x14ac:dyDescent="0.25">
      <c r="B43" s="306"/>
      <c r="C43" s="571" t="s">
        <v>352</v>
      </c>
      <c r="D43" s="571"/>
      <c r="E43" s="571"/>
      <c r="J43" s="302"/>
    </row>
    <row r="44" spans="2:10" x14ac:dyDescent="0.25">
      <c r="B44" s="306"/>
      <c r="C44" s="305" t="s">
        <v>353</v>
      </c>
      <c r="D44" s="333">
        <v>297</v>
      </c>
      <c r="E44" s="305" t="s">
        <v>342</v>
      </c>
      <c r="J44" s="302"/>
    </row>
    <row r="45" spans="2:10" x14ac:dyDescent="0.25">
      <c r="B45" s="306"/>
      <c r="C45" s="305" t="s">
        <v>345</v>
      </c>
      <c r="D45" s="333">
        <v>327</v>
      </c>
      <c r="E45" s="305" t="s">
        <v>342</v>
      </c>
      <c r="J45" s="302"/>
    </row>
    <row r="46" spans="2:10" x14ac:dyDescent="0.25">
      <c r="B46" s="306"/>
      <c r="C46" s="305" t="s">
        <v>354</v>
      </c>
      <c r="D46" s="333">
        <v>325</v>
      </c>
      <c r="E46" s="305" t="s">
        <v>342</v>
      </c>
      <c r="J46" s="302"/>
    </row>
    <row r="47" spans="2:10" x14ac:dyDescent="0.25">
      <c r="B47" s="306"/>
      <c r="C47" s="305" t="s">
        <v>355</v>
      </c>
      <c r="D47" s="333">
        <v>361</v>
      </c>
      <c r="E47" s="305" t="s">
        <v>342</v>
      </c>
      <c r="J47" s="302"/>
    </row>
    <row r="48" spans="2:10" ht="16.5" thickBot="1" x14ac:dyDescent="0.3">
      <c r="B48" s="322"/>
      <c r="C48" s="323"/>
      <c r="D48" s="323"/>
      <c r="E48" s="323"/>
      <c r="F48" s="323"/>
      <c r="G48" s="323"/>
      <c r="H48" s="323"/>
      <c r="I48" s="323"/>
      <c r="J48" s="324"/>
    </row>
    <row r="49" spans="2:10" ht="16.5" thickBot="1" x14ac:dyDescent="0.3"/>
    <row r="50" spans="2:10" x14ac:dyDescent="0.25">
      <c r="B50" s="577" t="s">
        <v>358</v>
      </c>
      <c r="C50" s="578"/>
      <c r="D50" s="578"/>
      <c r="E50" s="578"/>
      <c r="F50" s="578"/>
      <c r="G50" s="578"/>
      <c r="H50" s="578"/>
      <c r="I50" s="578"/>
      <c r="J50" s="579"/>
    </row>
    <row r="51" spans="2:10" x14ac:dyDescent="0.25">
      <c r="B51" s="580"/>
      <c r="C51" s="556"/>
      <c r="D51" s="556"/>
      <c r="E51" s="556"/>
      <c r="F51" s="556"/>
      <c r="G51" s="556"/>
      <c r="H51" s="556"/>
      <c r="I51" s="556"/>
      <c r="J51" s="581"/>
    </row>
    <row r="52" spans="2:10" x14ac:dyDescent="0.25">
      <c r="B52" s="300"/>
      <c r="C52" s="301"/>
      <c r="D52" s="301"/>
      <c r="E52" s="301"/>
      <c r="H52" s="304" t="s">
        <v>228</v>
      </c>
      <c r="I52" s="325">
        <v>45716</v>
      </c>
      <c r="J52" s="302"/>
    </row>
    <row r="53" spans="2:10" x14ac:dyDescent="0.25">
      <c r="B53" s="306"/>
      <c r="C53" s="326" t="s">
        <v>329</v>
      </c>
      <c r="D53" s="326" t="s">
        <v>330</v>
      </c>
      <c r="E53" s="326" t="s">
        <v>331</v>
      </c>
      <c r="F53" s="571" t="s">
        <v>332</v>
      </c>
      <c r="G53" s="571"/>
      <c r="H53" s="304" t="s">
        <v>333</v>
      </c>
      <c r="I53" s="327">
        <v>0.57500000000000007</v>
      </c>
      <c r="J53" s="302"/>
    </row>
    <row r="54" spans="2:10" x14ac:dyDescent="0.25">
      <c r="B54" s="306"/>
      <c r="C54" s="305" t="s">
        <v>359</v>
      </c>
      <c r="D54" s="334" t="s">
        <v>360</v>
      </c>
      <c r="E54" s="305"/>
      <c r="F54" s="589" t="s">
        <v>361</v>
      </c>
      <c r="G54" s="590"/>
      <c r="H54" s="304"/>
      <c r="I54" s="329"/>
      <c r="J54" s="302"/>
    </row>
    <row r="55" spans="2:10" x14ac:dyDescent="0.25">
      <c r="B55" s="306"/>
      <c r="C55" s="305" t="s">
        <v>362</v>
      </c>
      <c r="D55" s="334" t="s">
        <v>363</v>
      </c>
      <c r="E55" s="305"/>
      <c r="F55" s="589" t="s">
        <v>364</v>
      </c>
      <c r="G55" s="590"/>
      <c r="J55" s="302"/>
    </row>
    <row r="56" spans="2:10" x14ac:dyDescent="0.25">
      <c r="B56" s="306"/>
      <c r="C56" s="305" t="s">
        <v>365</v>
      </c>
      <c r="D56" s="318">
        <v>20.399999999999999</v>
      </c>
      <c r="E56" s="305" t="s">
        <v>278</v>
      </c>
      <c r="F56" s="589"/>
      <c r="G56" s="590"/>
      <c r="J56" s="302"/>
    </row>
    <row r="57" spans="2:10" x14ac:dyDescent="0.25">
      <c r="B57" s="306"/>
      <c r="C57" s="305" t="s">
        <v>366</v>
      </c>
      <c r="D57" s="318">
        <v>20.9</v>
      </c>
      <c r="E57" s="305" t="s">
        <v>278</v>
      </c>
      <c r="F57" s="565"/>
      <c r="G57" s="566"/>
      <c r="J57" s="302"/>
    </row>
    <row r="58" spans="2:10" x14ac:dyDescent="0.25">
      <c r="B58" s="306"/>
      <c r="C58" s="305" t="s">
        <v>365</v>
      </c>
      <c r="D58" s="335">
        <f>D56+273.15</f>
        <v>293.54999999999995</v>
      </c>
      <c r="E58" s="305" t="s">
        <v>367</v>
      </c>
      <c r="F58" s="336"/>
      <c r="G58" s="337"/>
      <c r="J58" s="302"/>
    </row>
    <row r="59" spans="2:10" x14ac:dyDescent="0.25">
      <c r="B59" s="306"/>
      <c r="C59" s="305" t="s">
        <v>366</v>
      </c>
      <c r="D59" s="335">
        <f>D57+273.15</f>
        <v>294.04999999999995</v>
      </c>
      <c r="E59" s="305" t="s">
        <v>367</v>
      </c>
      <c r="F59" s="336"/>
      <c r="G59" s="337"/>
      <c r="J59" s="302"/>
    </row>
    <row r="60" spans="2:10" x14ac:dyDescent="0.25">
      <c r="B60" s="306"/>
      <c r="C60" s="305" t="s">
        <v>350</v>
      </c>
      <c r="D60" s="332">
        <f>100*(D58-D59)/(D58)</f>
        <v>-0.17032873445750302</v>
      </c>
      <c r="E60" s="305" t="s">
        <v>351</v>
      </c>
      <c r="F60" s="570" t="s">
        <v>357</v>
      </c>
      <c r="G60" s="570"/>
      <c r="J60" s="302"/>
    </row>
    <row r="61" spans="2:10" ht="16.5" thickBot="1" x14ac:dyDescent="0.3">
      <c r="B61" s="322"/>
      <c r="C61" s="323"/>
      <c r="D61" s="323"/>
      <c r="E61" s="323"/>
      <c r="F61" s="323"/>
      <c r="G61" s="323"/>
      <c r="H61" s="323"/>
      <c r="I61" s="323"/>
      <c r="J61" s="324"/>
    </row>
  </sheetData>
  <mergeCells count="34">
    <mergeCell ref="C20:C23"/>
    <mergeCell ref="D20:D23"/>
    <mergeCell ref="I20:I23"/>
    <mergeCell ref="F60:G60"/>
    <mergeCell ref="F40:G40"/>
    <mergeCell ref="F41:G41"/>
    <mergeCell ref="C43:E43"/>
    <mergeCell ref="B50:J51"/>
    <mergeCell ref="F56:G56"/>
    <mergeCell ref="F53:G53"/>
    <mergeCell ref="F54:G54"/>
    <mergeCell ref="F55:G55"/>
    <mergeCell ref="F57:G57"/>
    <mergeCell ref="F33:G33"/>
    <mergeCell ref="F34:G34"/>
    <mergeCell ref="B26:J27"/>
    <mergeCell ref="C16:C19"/>
    <mergeCell ref="D16:D19"/>
    <mergeCell ref="B2:J3"/>
    <mergeCell ref="C5:D5"/>
    <mergeCell ref="E14:F14"/>
    <mergeCell ref="G14:H14"/>
    <mergeCell ref="E15:F15"/>
    <mergeCell ref="G15:H15"/>
    <mergeCell ref="F39:G39"/>
    <mergeCell ref="I16:I19"/>
    <mergeCell ref="F35:G35"/>
    <mergeCell ref="F36:G36"/>
    <mergeCell ref="F37:G37"/>
    <mergeCell ref="F38:G38"/>
    <mergeCell ref="F29:G29"/>
    <mergeCell ref="F30:G30"/>
    <mergeCell ref="F31:G31"/>
    <mergeCell ref="F32:G32"/>
  </mergeCells>
  <dataValidations count="1">
    <dataValidation type="list" allowBlank="1" showInputMessage="1" showErrorMessage="1" sqref="D35">
      <formula1>$C$44:$C$47</formula1>
    </dataValidation>
  </dataValidations>
  <hyperlinks>
    <hyperlink ref="F30" r:id="rId1" display="https://forecast.weather.gov/data/obhistory/KOMA.html"/>
    <hyperlink ref="F30:G30" r:id="rId2" display="Omaha - Eppley"/>
  </hyperlinks>
  <pageMargins left="0.7" right="0.7" top="0.75" bottom="0.75" header="0.3" footer="0.3"/>
  <pageSetup orientation="portrait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N47"/>
  <sheetViews>
    <sheetView zoomScale="85" zoomScaleNormal="85" workbookViewId="0">
      <selection activeCell="D46" sqref="D46"/>
    </sheetView>
  </sheetViews>
  <sheetFormatPr defaultRowHeight="15.75" x14ac:dyDescent="0.25"/>
  <cols>
    <col min="1" max="1" width="40.7109375" style="152" customWidth="1"/>
    <col min="2" max="6" width="20.7109375" style="153" customWidth="1"/>
    <col min="7" max="8" width="9.140625" style="153"/>
    <col min="9" max="9" width="17.28515625" style="153" customWidth="1"/>
    <col min="10" max="10" width="10.7109375" style="153" customWidth="1"/>
    <col min="11" max="11" width="12.5703125" style="153" customWidth="1"/>
    <col min="12" max="12" width="10.7109375" style="153" customWidth="1"/>
    <col min="13" max="13" width="12.85546875" style="153" customWidth="1"/>
    <col min="14" max="14" width="10.7109375" style="153" customWidth="1"/>
    <col min="15" max="19" width="9.140625" style="153"/>
    <col min="20" max="20" width="11" style="153" bestFit="1" customWidth="1"/>
    <col min="21" max="16384" width="9.140625" style="153"/>
  </cols>
  <sheetData>
    <row r="1" spans="1:14" ht="16.5" thickBot="1" x14ac:dyDescent="0.3"/>
    <row r="2" spans="1:14" s="154" customFormat="1" ht="18.75" thickBot="1" x14ac:dyDescent="0.3">
      <c r="A2" s="597" t="str">
        <f>"Annual QA Nebraska Methodist Hospital - "&amp;B6&amp;" "&amp;B7</f>
        <v>Annual QA Nebraska Methodist Hospital - Varian Truebeam 3348</v>
      </c>
      <c r="B2" s="598"/>
      <c r="C2" s="598"/>
      <c r="D2" s="598"/>
      <c r="E2" s="598"/>
      <c r="F2" s="599"/>
      <c r="I2" s="600" t="s">
        <v>239</v>
      </c>
      <c r="J2" s="601"/>
      <c r="K2" s="601"/>
      <c r="L2" s="601"/>
      <c r="M2" s="601"/>
      <c r="N2" s="602"/>
    </row>
    <row r="3" spans="1:14" s="154" customFormat="1" ht="18.75" thickBot="1" x14ac:dyDescent="0.3">
      <c r="A3" s="593" t="s">
        <v>240</v>
      </c>
      <c r="B3" s="594"/>
      <c r="C3" s="594"/>
      <c r="D3" s="594"/>
      <c r="E3" s="594"/>
      <c r="F3" s="595"/>
      <c r="I3" s="155"/>
      <c r="J3" s="156">
        <v>6</v>
      </c>
      <c r="K3" s="499">
        <v>6</v>
      </c>
      <c r="L3" s="156">
        <v>10</v>
      </c>
      <c r="M3" s="499">
        <v>10</v>
      </c>
      <c r="N3" s="157">
        <v>18</v>
      </c>
    </row>
    <row r="4" spans="1:14" x14ac:dyDescent="0.25">
      <c r="A4" s="158" t="s">
        <v>241</v>
      </c>
      <c r="B4" s="159" t="s">
        <v>242</v>
      </c>
      <c r="C4" s="160" t="str">
        <f>IF(ISBLANK($B4),"",$B4)</f>
        <v>WSF</v>
      </c>
      <c r="D4" s="160" t="str">
        <f t="shared" ref="D4:F7" si="0">IF(ISBLANK($B4),"",$B4)</f>
        <v>WSF</v>
      </c>
      <c r="E4" s="160" t="str">
        <f t="shared" si="0"/>
        <v>WSF</v>
      </c>
      <c r="F4" s="161" t="str">
        <f t="shared" si="0"/>
        <v>WSF</v>
      </c>
      <c r="I4" s="603" t="s">
        <v>417</v>
      </c>
      <c r="J4" s="286">
        <f>IF(B31=300, 300,-300)</f>
        <v>300</v>
      </c>
      <c r="K4" s="286">
        <f>IF(C31=300, 300,-300)</f>
        <v>300</v>
      </c>
      <c r="L4" s="286">
        <f>IF(D31=300, 300,-300)</f>
        <v>300</v>
      </c>
      <c r="M4" s="286">
        <f>IF(E31=300, 300,-300)</f>
        <v>300</v>
      </c>
      <c r="N4" s="287">
        <f>IF(F31=300, 300,-300)</f>
        <v>300</v>
      </c>
    </row>
    <row r="5" spans="1:14" x14ac:dyDescent="0.25">
      <c r="A5" s="162" t="s">
        <v>228</v>
      </c>
      <c r="B5" s="163">
        <v>45717</v>
      </c>
      <c r="C5" s="164">
        <f t="shared" ref="C5:C7" si="1">IF(ISBLANK($B5),"",$B5)</f>
        <v>45717</v>
      </c>
      <c r="D5" s="164">
        <f t="shared" si="0"/>
        <v>45717</v>
      </c>
      <c r="E5" s="164">
        <f t="shared" si="0"/>
        <v>45717</v>
      </c>
      <c r="F5" s="165">
        <f t="shared" si="0"/>
        <v>45717</v>
      </c>
      <c r="I5" s="604"/>
      <c r="J5" s="288">
        <v>12.24</v>
      </c>
      <c r="K5" s="289">
        <v>11.63</v>
      </c>
      <c r="L5" s="289">
        <v>13.73</v>
      </c>
      <c r="M5" s="289">
        <v>13.27</v>
      </c>
      <c r="N5" s="290">
        <v>15.05</v>
      </c>
    </row>
    <row r="6" spans="1:14" x14ac:dyDescent="0.25">
      <c r="A6" s="162" t="s">
        <v>243</v>
      </c>
      <c r="B6" s="167" t="s">
        <v>244</v>
      </c>
      <c r="C6" s="168" t="str">
        <f t="shared" si="1"/>
        <v>Varian Truebeam</v>
      </c>
      <c r="D6" s="168" t="str">
        <f t="shared" si="0"/>
        <v>Varian Truebeam</v>
      </c>
      <c r="E6" s="168" t="str">
        <f t="shared" si="0"/>
        <v>Varian Truebeam</v>
      </c>
      <c r="F6" s="169" t="str">
        <f t="shared" si="0"/>
        <v>Varian Truebeam</v>
      </c>
      <c r="I6" s="604"/>
      <c r="J6" s="218">
        <v>12.25</v>
      </c>
      <c r="K6" s="171">
        <v>11.62</v>
      </c>
      <c r="L6" s="171">
        <v>13.73</v>
      </c>
      <c r="M6" s="171">
        <v>13.27</v>
      </c>
      <c r="N6" s="172">
        <v>15.05</v>
      </c>
    </row>
    <row r="7" spans="1:14" x14ac:dyDescent="0.25">
      <c r="A7" s="162" t="s">
        <v>245</v>
      </c>
      <c r="B7" s="167">
        <v>3348</v>
      </c>
      <c r="C7" s="168">
        <f t="shared" si="1"/>
        <v>3348</v>
      </c>
      <c r="D7" s="168">
        <f t="shared" si="0"/>
        <v>3348</v>
      </c>
      <c r="E7" s="168">
        <f t="shared" si="0"/>
        <v>3348</v>
      </c>
      <c r="F7" s="169">
        <f t="shared" si="0"/>
        <v>3348</v>
      </c>
      <c r="I7" s="605"/>
      <c r="J7" s="242"/>
      <c r="K7" s="173"/>
      <c r="L7" s="173"/>
      <c r="M7" s="173"/>
      <c r="N7" s="174"/>
    </row>
    <row r="8" spans="1:14" ht="18.75" thickBot="1" x14ac:dyDescent="0.3">
      <c r="A8" s="162" t="s">
        <v>246</v>
      </c>
      <c r="B8" s="249">
        <v>6</v>
      </c>
      <c r="C8" s="253">
        <v>6</v>
      </c>
      <c r="D8" s="249">
        <v>10</v>
      </c>
      <c r="E8" s="253">
        <v>10</v>
      </c>
      <c r="F8" s="250">
        <v>18</v>
      </c>
      <c r="I8" s="284" t="s">
        <v>29</v>
      </c>
      <c r="J8" s="260">
        <f>IF(ISNUMBER(AVERAGE(J5:J7)),AVERAGE(J5:J7),"")</f>
        <v>12.245000000000001</v>
      </c>
      <c r="K8" s="260">
        <f t="shared" ref="K8:N8" si="2">IF(ISNUMBER(AVERAGE(K5:K7)),AVERAGE(K5:K7),"")</f>
        <v>11.625</v>
      </c>
      <c r="L8" s="260">
        <f t="shared" si="2"/>
        <v>13.73</v>
      </c>
      <c r="M8" s="260">
        <f t="shared" si="2"/>
        <v>13.27</v>
      </c>
      <c r="N8" s="261">
        <f t="shared" si="2"/>
        <v>15.05</v>
      </c>
    </row>
    <row r="9" spans="1:14" ht="18.75" thickBot="1" x14ac:dyDescent="0.3">
      <c r="A9" s="593" t="s">
        <v>247</v>
      </c>
      <c r="B9" s="594"/>
      <c r="C9" s="594"/>
      <c r="D9" s="594"/>
      <c r="E9" s="594"/>
      <c r="F9" s="595"/>
      <c r="I9" s="603" t="s">
        <v>418</v>
      </c>
      <c r="J9" s="285">
        <f>IF(J4=300,150,-150)</f>
        <v>150</v>
      </c>
      <c r="K9" s="266">
        <f>IF(K4=300,150,-150)</f>
        <v>150</v>
      </c>
      <c r="L9" s="266">
        <f>IF(L4=300,150,-150)</f>
        <v>150</v>
      </c>
      <c r="M9" s="266">
        <f>IF(M4=300,150,-150)</f>
        <v>150</v>
      </c>
      <c r="N9" s="267">
        <f>IF(N3="","",IF(N4=300,150,-150))</f>
        <v>150</v>
      </c>
    </row>
    <row r="10" spans="1:14" x14ac:dyDescent="0.25">
      <c r="A10" s="162" t="s">
        <v>248</v>
      </c>
      <c r="B10" s="268" t="s">
        <v>249</v>
      </c>
      <c r="C10" s="272" t="str">
        <f t="shared" ref="C10:F18" si="3">IF(ISBLANK($B10),"",$B10)</f>
        <v>N30013</v>
      </c>
      <c r="D10" s="272" t="str">
        <f t="shared" si="3"/>
        <v>N30013</v>
      </c>
      <c r="E10" s="272" t="str">
        <f t="shared" si="3"/>
        <v>N30013</v>
      </c>
      <c r="F10" s="273" t="str">
        <f t="shared" si="3"/>
        <v>N30013</v>
      </c>
      <c r="I10" s="604"/>
      <c r="J10" s="171">
        <v>12.21</v>
      </c>
      <c r="K10" s="171">
        <v>11.56</v>
      </c>
      <c r="L10" s="171">
        <v>13.68</v>
      </c>
      <c r="M10" s="171">
        <v>13.14</v>
      </c>
      <c r="N10" s="172">
        <v>14.99</v>
      </c>
    </row>
    <row r="11" spans="1:14" x14ac:dyDescent="0.25">
      <c r="A11" s="162" t="s">
        <v>250</v>
      </c>
      <c r="B11" s="268">
        <v>9244</v>
      </c>
      <c r="C11" s="272">
        <f t="shared" si="3"/>
        <v>9244</v>
      </c>
      <c r="D11" s="272">
        <f t="shared" si="3"/>
        <v>9244</v>
      </c>
      <c r="E11" s="272">
        <f t="shared" si="3"/>
        <v>9244</v>
      </c>
      <c r="F11" s="273">
        <f t="shared" si="3"/>
        <v>9244</v>
      </c>
      <c r="I11" s="604"/>
      <c r="J11" s="171"/>
      <c r="K11" s="171"/>
      <c r="L11" s="171"/>
      <c r="M11" s="171"/>
      <c r="N11" s="172"/>
    </row>
    <row r="12" spans="1:14" x14ac:dyDescent="0.25">
      <c r="A12" s="162" t="s">
        <v>251</v>
      </c>
      <c r="B12" s="268">
        <v>0.30499999999999999</v>
      </c>
      <c r="C12" s="272">
        <f t="shared" si="3"/>
        <v>0.30499999999999999</v>
      </c>
      <c r="D12" s="272">
        <f t="shared" si="3"/>
        <v>0.30499999999999999</v>
      </c>
      <c r="E12" s="272">
        <f t="shared" si="3"/>
        <v>0.30499999999999999</v>
      </c>
      <c r="F12" s="273">
        <f t="shared" si="3"/>
        <v>0.30499999999999999</v>
      </c>
      <c r="I12" s="605"/>
      <c r="J12" s="173"/>
      <c r="K12" s="173"/>
      <c r="L12" s="173"/>
      <c r="M12" s="173"/>
      <c r="N12" s="174"/>
    </row>
    <row r="13" spans="1:14" ht="21" thickBot="1" x14ac:dyDescent="0.4">
      <c r="A13" s="162" t="s">
        <v>309</v>
      </c>
      <c r="B13" s="269">
        <v>53920000</v>
      </c>
      <c r="C13" s="274">
        <f t="shared" si="3"/>
        <v>53920000</v>
      </c>
      <c r="D13" s="274">
        <f t="shared" si="3"/>
        <v>53920000</v>
      </c>
      <c r="E13" s="274">
        <f t="shared" si="3"/>
        <v>53920000</v>
      </c>
      <c r="F13" s="275">
        <f t="shared" si="3"/>
        <v>53920000</v>
      </c>
      <c r="I13" s="284" t="s">
        <v>29</v>
      </c>
      <c r="J13" s="260">
        <f>IF(ISNUMBER(AVERAGE(J10:J12)),AVERAGE(J10:J12),"")</f>
        <v>12.21</v>
      </c>
      <c r="K13" s="260">
        <f t="shared" ref="K13:N13" si="4">IF(ISNUMBER(AVERAGE(K10:K12)),AVERAGE(K10:K12),"")</f>
        <v>11.56</v>
      </c>
      <c r="L13" s="260">
        <f t="shared" si="4"/>
        <v>13.68</v>
      </c>
      <c r="M13" s="260">
        <f t="shared" si="4"/>
        <v>13.14</v>
      </c>
      <c r="N13" s="261">
        <f t="shared" si="4"/>
        <v>14.99</v>
      </c>
    </row>
    <row r="14" spans="1:14" ht="16.5" thickBot="1" x14ac:dyDescent="0.3">
      <c r="A14" s="170" t="s">
        <v>252</v>
      </c>
      <c r="B14" s="270">
        <v>45531</v>
      </c>
      <c r="C14" s="276">
        <f t="shared" si="3"/>
        <v>45531</v>
      </c>
      <c r="D14" s="276">
        <f t="shared" si="3"/>
        <v>45531</v>
      </c>
      <c r="E14" s="276">
        <f t="shared" si="3"/>
        <v>45531</v>
      </c>
      <c r="F14" s="277">
        <f t="shared" si="3"/>
        <v>45531</v>
      </c>
      <c r="I14" s="603" t="s">
        <v>419</v>
      </c>
      <c r="J14" s="181">
        <v>12.23</v>
      </c>
      <c r="K14" s="181">
        <v>11.61</v>
      </c>
      <c r="L14" s="181">
        <v>13.71</v>
      </c>
      <c r="M14" s="181">
        <v>13.24</v>
      </c>
      <c r="N14" s="182">
        <v>15.01</v>
      </c>
    </row>
    <row r="15" spans="1:14" x14ac:dyDescent="0.25">
      <c r="A15" s="162" t="s">
        <v>253</v>
      </c>
      <c r="B15" s="268" t="s">
        <v>254</v>
      </c>
      <c r="C15" s="272" t="str">
        <f t="shared" si="3"/>
        <v>Supermax</v>
      </c>
      <c r="D15" s="272" t="str">
        <f t="shared" si="3"/>
        <v>Supermax</v>
      </c>
      <c r="E15" s="272" t="str">
        <f t="shared" si="3"/>
        <v>Supermax</v>
      </c>
      <c r="F15" s="273" t="str">
        <f t="shared" si="3"/>
        <v>Supermax</v>
      </c>
      <c r="I15" s="604"/>
      <c r="J15" s="218"/>
      <c r="K15" s="171"/>
      <c r="L15" s="171"/>
      <c r="M15" s="171"/>
      <c r="N15" s="172"/>
    </row>
    <row r="16" spans="1:14" x14ac:dyDescent="0.25">
      <c r="A16" s="162" t="s">
        <v>255</v>
      </c>
      <c r="B16" s="268" t="s">
        <v>256</v>
      </c>
      <c r="C16" s="272" t="str">
        <f t="shared" si="3"/>
        <v>R172001</v>
      </c>
      <c r="D16" s="272" t="str">
        <f t="shared" si="3"/>
        <v>R172001</v>
      </c>
      <c r="E16" s="272" t="str">
        <f t="shared" si="3"/>
        <v>R172001</v>
      </c>
      <c r="F16" s="273" t="str">
        <f t="shared" si="3"/>
        <v>R172001</v>
      </c>
      <c r="I16" s="605"/>
      <c r="J16" s="173"/>
      <c r="K16" s="173"/>
      <c r="L16" s="173"/>
      <c r="M16" s="173"/>
      <c r="N16" s="174"/>
    </row>
    <row r="17" spans="1:14" ht="19.5" thickBot="1" x14ac:dyDescent="0.4">
      <c r="A17" s="162" t="s">
        <v>257</v>
      </c>
      <c r="B17" s="271">
        <v>0.999</v>
      </c>
      <c r="C17" s="278">
        <f t="shared" si="3"/>
        <v>0.999</v>
      </c>
      <c r="D17" s="278">
        <f t="shared" si="3"/>
        <v>0.999</v>
      </c>
      <c r="E17" s="278">
        <f t="shared" si="3"/>
        <v>0.999</v>
      </c>
      <c r="F17" s="279">
        <f t="shared" si="3"/>
        <v>0.999</v>
      </c>
      <c r="I17" s="284" t="s">
        <v>29</v>
      </c>
      <c r="J17" s="260">
        <f>IF(ISNUMBER(AVERAGE(J14:J16)),AVERAGE(J14:J16),"")</f>
        <v>12.23</v>
      </c>
      <c r="K17" s="260">
        <f t="shared" ref="K17:N17" si="5">IF(ISNUMBER(AVERAGE(K14:K16)),AVERAGE(K14:K16),"")</f>
        <v>11.61</v>
      </c>
      <c r="L17" s="260">
        <f t="shared" si="5"/>
        <v>13.71</v>
      </c>
      <c r="M17" s="260">
        <f t="shared" si="5"/>
        <v>13.24</v>
      </c>
      <c r="N17" s="261">
        <f t="shared" si="5"/>
        <v>15.01</v>
      </c>
    </row>
    <row r="18" spans="1:14" ht="16.5" thickBot="1" x14ac:dyDescent="0.3">
      <c r="A18" s="170" t="s">
        <v>252</v>
      </c>
      <c r="B18" s="270">
        <v>45201</v>
      </c>
      <c r="C18" s="276">
        <f t="shared" si="3"/>
        <v>45201</v>
      </c>
      <c r="D18" s="276">
        <f t="shared" si="3"/>
        <v>45201</v>
      </c>
      <c r="E18" s="276">
        <f t="shared" si="3"/>
        <v>45201</v>
      </c>
      <c r="F18" s="277">
        <f t="shared" si="3"/>
        <v>45201</v>
      </c>
    </row>
    <row r="19" spans="1:14" ht="18.75" thickBot="1" x14ac:dyDescent="0.3">
      <c r="A19" s="593" t="s">
        <v>258</v>
      </c>
      <c r="B19" s="594"/>
      <c r="C19" s="594"/>
      <c r="D19" s="594"/>
      <c r="E19" s="594"/>
      <c r="F19" s="595"/>
    </row>
    <row r="20" spans="1:14" ht="16.5" thickBot="1" x14ac:dyDescent="0.3">
      <c r="A20" s="162" t="s">
        <v>259</v>
      </c>
      <c r="B20" s="167" t="s">
        <v>260</v>
      </c>
      <c r="C20" s="168" t="str">
        <f t="shared" ref="C20:F22" si="6">IF(ISBLANK($B20),"",$B20)</f>
        <v>SSD</v>
      </c>
      <c r="D20" s="168" t="str">
        <f t="shared" si="6"/>
        <v>SSD</v>
      </c>
      <c r="E20" s="168" t="str">
        <f t="shared" si="6"/>
        <v>SSD</v>
      </c>
      <c r="F20" s="169" t="str">
        <f t="shared" si="6"/>
        <v>SSD</v>
      </c>
      <c r="I20" s="191" t="s">
        <v>265</v>
      </c>
      <c r="J20" s="192"/>
      <c r="K20" s="193" t="s">
        <v>266</v>
      </c>
      <c r="L20" s="192"/>
      <c r="M20" s="194"/>
    </row>
    <row r="21" spans="1:14" ht="18.75" x14ac:dyDescent="0.25">
      <c r="A21" s="162" t="s">
        <v>261</v>
      </c>
      <c r="B21" s="167">
        <v>10</v>
      </c>
      <c r="C21" s="168">
        <f t="shared" si="6"/>
        <v>10</v>
      </c>
      <c r="D21" s="168">
        <f t="shared" si="6"/>
        <v>10</v>
      </c>
      <c r="E21" s="168">
        <f t="shared" si="6"/>
        <v>10</v>
      </c>
      <c r="F21" s="169">
        <f t="shared" si="6"/>
        <v>10</v>
      </c>
      <c r="I21" s="197"/>
      <c r="J21" s="197"/>
      <c r="K21" s="197"/>
      <c r="L21" s="197"/>
      <c r="M21" s="197"/>
      <c r="N21" s="197"/>
    </row>
    <row r="22" spans="1:14" ht="16.5" thickBot="1" x14ac:dyDescent="0.3">
      <c r="A22" s="170" t="s">
        <v>262</v>
      </c>
      <c r="B22" s="186">
        <v>100</v>
      </c>
      <c r="C22" s="187">
        <f t="shared" si="6"/>
        <v>100</v>
      </c>
      <c r="D22" s="187">
        <f t="shared" si="6"/>
        <v>100</v>
      </c>
      <c r="E22" s="187">
        <f t="shared" si="6"/>
        <v>100</v>
      </c>
      <c r="F22" s="188">
        <f t="shared" si="6"/>
        <v>100</v>
      </c>
    </row>
    <row r="23" spans="1:14" ht="18.75" thickBot="1" x14ac:dyDescent="0.3">
      <c r="A23" s="593" t="s">
        <v>263</v>
      </c>
      <c r="B23" s="594"/>
      <c r="C23" s="594"/>
      <c r="D23" s="594"/>
      <c r="E23" s="594"/>
      <c r="F23" s="595"/>
      <c r="I23" s="591" t="s">
        <v>270</v>
      </c>
      <c r="J23" s="592"/>
    </row>
    <row r="24" spans="1:14" ht="16.5" thickBot="1" x14ac:dyDescent="0.3">
      <c r="A24" s="158" t="s">
        <v>264</v>
      </c>
      <c r="B24" s="189">
        <f>PDDs!I9</f>
        <v>67.110655737704917</v>
      </c>
      <c r="C24" s="189">
        <f>PDDs!I10</f>
        <v>64.093448450990351</v>
      </c>
      <c r="D24" s="189">
        <f>PDDs!I11</f>
        <v>73.93075356415477</v>
      </c>
      <c r="E24" s="189">
        <f>PDDs!I12</f>
        <v>71.057884231536917</v>
      </c>
      <c r="F24" s="190">
        <f>PDDs!I13</f>
        <v>79.864253393665166</v>
      </c>
      <c r="I24" s="199" t="s">
        <v>273</v>
      </c>
      <c r="J24" s="200" t="s">
        <v>249</v>
      </c>
    </row>
    <row r="25" spans="1:14" x14ac:dyDescent="0.25">
      <c r="A25" s="162" t="s">
        <v>267</v>
      </c>
      <c r="B25" s="195"/>
      <c r="C25" s="195"/>
      <c r="D25" s="195"/>
      <c r="E25" s="195"/>
      <c r="F25" s="196"/>
      <c r="I25" s="201" t="s">
        <v>274</v>
      </c>
      <c r="J25" s="202">
        <v>0.96519999999999995</v>
      </c>
    </row>
    <row r="26" spans="1:14" ht="18.75" x14ac:dyDescent="0.35">
      <c r="A26" s="162" t="s">
        <v>268</v>
      </c>
      <c r="B26" s="264">
        <f t="shared" ref="B26" si="7">IF(ISNUMBER(B24),IF(ISNUMBER(B25),IF(B25&lt;=71,IF(B24&lt;=75,B24,B25),(0.8116+0.00264*B25)*B25),IF(B24&lt;=75,B24,1.267*B24-20)),"")</f>
        <v>67.110655737704917</v>
      </c>
      <c r="C26" s="264">
        <f>IF(ISNUMBER(C24),IF(ISNUMBER(C25),IF(C25&lt;=71,IF(C24&lt;=75,C24,C25),(0.8116+0.00264*C25)*C25),IF(C24&lt;=75,C24,1.267*C24-20)),"")</f>
        <v>64.093448450990351</v>
      </c>
      <c r="D26" s="264">
        <f t="shared" ref="D26:F26" si="8">IF(ISNUMBER(D24),IF(ISNUMBER(D25),IF(D25&lt;=71,IF(D24&lt;=75,D24,D25),(0.8116+0.00264*D25)*D25),IF(D24&lt;=75,D24,1.267*D24-20)),"")</f>
        <v>73.93075356415477</v>
      </c>
      <c r="E26" s="264">
        <f t="shared" si="8"/>
        <v>71.057884231536917</v>
      </c>
      <c r="F26" s="265">
        <f t="shared" si="8"/>
        <v>81.188009049773754</v>
      </c>
      <c r="I26" s="205" t="s">
        <v>276</v>
      </c>
      <c r="J26" s="172">
        <v>2.141</v>
      </c>
    </row>
    <row r="27" spans="1:14" ht="19.5" thickBot="1" x14ac:dyDescent="0.4">
      <c r="A27" s="162" t="s">
        <v>269</v>
      </c>
      <c r="B27" s="183">
        <f>IF(ISNUMBER($J$25+$J$26*10^-3*B26+$J$27*10^-5*B26^2),$J$25+$J$26*10^-3*B26+$J$27*10^-5*B26^2,"")</f>
        <v>0.99074818775614748</v>
      </c>
      <c r="C27" s="183">
        <f>IF(ISNUMBER($J$25+$J$26*10^-3*C26+$J$27*10^-5*C26^2),$J$25+$J$26*10^-3*C26+$J$27*10^-5*C26^2,"")</f>
        <v>0.9946720165098385</v>
      </c>
      <c r="D27" s="183">
        <f>IF(ISNUMBER($J$25+$J$26*10^-3*D26+$J$27*10^-5*D26^2),$J$25+$J$26*10^-3*D26+$J$27*10^-5*D26^2,"")</f>
        <v>0.98011895504000734</v>
      </c>
      <c r="E27" s="183">
        <f>IF(ISNUMBER($J$25+$J$26*10^-3*E26+$J$27*10^-5*E26^2),$J$25+$J$26*10^-3*E26+$J$27*10^-5*E26^2,"")</f>
        <v>0.98489381317205893</v>
      </c>
      <c r="F27" s="198">
        <f>IF(ISNUMBER($J$25+$J$26*10^-3*F26+$J$27*10^-5*F26^2),$J$25+$J$26*10^-3*F26+$J$27*10^-5*F26^2,"")</f>
        <v>0.96612867087834853</v>
      </c>
      <c r="I27" s="206" t="s">
        <v>278</v>
      </c>
      <c r="J27" s="207">
        <v>-2.6230000000000002</v>
      </c>
    </row>
    <row r="28" spans="1:14" ht="18.75" thickBot="1" x14ac:dyDescent="0.3">
      <c r="A28" s="593" t="s">
        <v>271</v>
      </c>
      <c r="B28" s="594"/>
      <c r="C28" s="594"/>
      <c r="D28" s="594"/>
      <c r="E28" s="594"/>
      <c r="F28" s="595"/>
    </row>
    <row r="29" spans="1:14" x14ac:dyDescent="0.25">
      <c r="A29" s="158" t="s">
        <v>272</v>
      </c>
      <c r="B29" s="237">
        <v>19.600000000000001</v>
      </c>
      <c r="C29" s="237">
        <v>19.600000000000001</v>
      </c>
      <c r="D29" s="237">
        <v>19.600000000000001</v>
      </c>
      <c r="E29" s="237">
        <v>19.600000000000001</v>
      </c>
      <c r="F29" s="238">
        <v>19.600000000000001</v>
      </c>
    </row>
    <row r="30" spans="1:14" x14ac:dyDescent="0.25">
      <c r="A30" s="162" t="s">
        <v>311</v>
      </c>
      <c r="B30" s="235">
        <v>740.1</v>
      </c>
      <c r="C30" s="235">
        <v>740.1</v>
      </c>
      <c r="D30" s="235">
        <v>740.1</v>
      </c>
      <c r="E30" s="235">
        <v>740.1</v>
      </c>
      <c r="F30" s="236">
        <v>740.1</v>
      </c>
    </row>
    <row r="31" spans="1:14" x14ac:dyDescent="0.25">
      <c r="A31" s="162" t="s">
        <v>275</v>
      </c>
      <c r="B31" s="280">
        <v>300</v>
      </c>
      <c r="C31" s="280">
        <f t="shared" ref="C31:F31" si="9">IF(ISBLANK($B31),"",$B31)</f>
        <v>300</v>
      </c>
      <c r="D31" s="280">
        <f t="shared" si="9"/>
        <v>300</v>
      </c>
      <c r="E31" s="280">
        <f t="shared" si="9"/>
        <v>300</v>
      </c>
      <c r="F31" s="281">
        <f t="shared" si="9"/>
        <v>300</v>
      </c>
      <c r="H31" s="204"/>
    </row>
    <row r="32" spans="1:14" ht="18.75" x14ac:dyDescent="0.35">
      <c r="A32" s="162" t="s">
        <v>277</v>
      </c>
      <c r="B32" s="258">
        <f>IF(AND(ISNUMBER(B29),ISNUMBER(B30)),((273.2+B29)/295.2)*(760/B30),"")</f>
        <v>1.0185395733162845</v>
      </c>
      <c r="C32" s="258">
        <f t="shared" ref="C32:F32" si="10">IF(AND(ISNUMBER(C29),ISNUMBER(C30)),((273.2+C29)/295.2)*(760/C30),"")</f>
        <v>1.0185395733162845</v>
      </c>
      <c r="D32" s="258">
        <f t="shared" si="10"/>
        <v>1.0185395733162845</v>
      </c>
      <c r="E32" s="258">
        <f t="shared" si="10"/>
        <v>1.0185395733162845</v>
      </c>
      <c r="F32" s="259">
        <f t="shared" si="10"/>
        <v>1.0185395733162845</v>
      </c>
    </row>
    <row r="33" spans="1:6" ht="18.75" x14ac:dyDescent="0.35">
      <c r="A33" s="162" t="s">
        <v>279</v>
      </c>
      <c r="B33" s="258">
        <f>IF(ISNUMBER((J8+J17)/(2*J8)),(J8+J17)/(2*J8),"")</f>
        <v>0.99938750510412411</v>
      </c>
      <c r="C33" s="258">
        <f t="shared" ref="C33:F33" si="11">IF(ISNUMBER((K8+K17)/(2*K8)),(K8+K17)/(2*K8),"")</f>
        <v>0.99935483870967734</v>
      </c>
      <c r="D33" s="258">
        <f t="shared" si="11"/>
        <v>0.99927166788055355</v>
      </c>
      <c r="E33" s="258">
        <f t="shared" si="11"/>
        <v>0.99886963074604362</v>
      </c>
      <c r="F33" s="259">
        <f t="shared" si="11"/>
        <v>0.99867109634551499</v>
      </c>
    </row>
    <row r="34" spans="1:6" ht="18.75" x14ac:dyDescent="0.35">
      <c r="A34" s="162" t="s">
        <v>280</v>
      </c>
      <c r="B34" s="258">
        <f>IF(ISNUMBER(((1-(J4/J9))/((J8/J13)-(J4/J9)))),((1-(J4/J9))/((J8/J13)-(J4/J9))),"")</f>
        <v>1.0028747433264888</v>
      </c>
      <c r="C34" s="258">
        <f t="shared" ref="C34:F34" si="12">IF(ISNUMBER(((1-(K4/K9))/((K8/K13)-(K4/K9)))),((1-(K4/K9))/((K8/K13)-(K4/K9))),"")</f>
        <v>1.0056546324488909</v>
      </c>
      <c r="D34" s="258">
        <f t="shared" si="12"/>
        <v>1.0036683785766691</v>
      </c>
      <c r="E34" s="258">
        <f t="shared" si="12"/>
        <v>1.0099923136049191</v>
      </c>
      <c r="F34" s="259">
        <f t="shared" si="12"/>
        <v>1.0040187541862022</v>
      </c>
    </row>
    <row r="35" spans="1:6" ht="18.75" customHeight="1" x14ac:dyDescent="0.2">
      <c r="A35" s="596" t="s">
        <v>281</v>
      </c>
      <c r="B35" s="500">
        <v>12.24</v>
      </c>
      <c r="C35" s="500">
        <f t="shared" ref="C35:F36" si="13">K5</f>
        <v>11.63</v>
      </c>
      <c r="D35" s="500">
        <f t="shared" si="13"/>
        <v>13.73</v>
      </c>
      <c r="E35" s="500">
        <f t="shared" si="13"/>
        <v>13.27</v>
      </c>
      <c r="F35" s="498">
        <f t="shared" si="13"/>
        <v>15.05</v>
      </c>
    </row>
    <row r="36" spans="1:6" ht="15.75" customHeight="1" x14ac:dyDescent="0.2">
      <c r="A36" s="596"/>
      <c r="B36" s="500">
        <f>J6</f>
        <v>12.25</v>
      </c>
      <c r="C36" s="500">
        <f t="shared" si="13"/>
        <v>11.62</v>
      </c>
      <c r="D36" s="500">
        <f t="shared" si="13"/>
        <v>13.73</v>
      </c>
      <c r="E36" s="500">
        <f t="shared" si="13"/>
        <v>13.27</v>
      </c>
      <c r="F36" s="498">
        <f t="shared" si="13"/>
        <v>15.05</v>
      </c>
    </row>
    <row r="37" spans="1:6" ht="15.75" customHeight="1" x14ac:dyDescent="0.2">
      <c r="A37" s="596"/>
      <c r="B37" s="500">
        <v>12.25</v>
      </c>
      <c r="C37" s="500">
        <v>11.63</v>
      </c>
      <c r="D37" s="500">
        <v>13.72</v>
      </c>
      <c r="E37" s="500">
        <v>13.27</v>
      </c>
      <c r="F37" s="498">
        <v>15.06</v>
      </c>
    </row>
    <row r="38" spans="1:6" x14ac:dyDescent="0.25">
      <c r="A38" s="162" t="s">
        <v>282</v>
      </c>
      <c r="B38" s="258">
        <f>IF(ISNUMBER(B$32*B$33*B$34*B$17*AVERAGE(B$35:B$37)),B$32*B$33*B$34*B$17*AVERAGE(B$35:B$37),"")</f>
        <v>12.489409407977309</v>
      </c>
      <c r="C38" s="258">
        <f t="shared" ref="C38:F38" si="14">IF(ISNUMBER(C$32*C$33*C$34*C$17*AVERAGE(C$35:C$37)),C$32*C$33*C$34*C$17*AVERAGE(C$35:C$37),"")</f>
        <v>11.889598663472016</v>
      </c>
      <c r="D38" s="258">
        <f t="shared" si="14"/>
        <v>14.008198873772402</v>
      </c>
      <c r="E38" s="258">
        <f t="shared" si="14"/>
        <v>13.622010047020474</v>
      </c>
      <c r="F38" s="259">
        <f t="shared" si="14"/>
        <v>15.358202157803211</v>
      </c>
    </row>
    <row r="39" spans="1:6" x14ac:dyDescent="0.25">
      <c r="A39" s="162" t="s">
        <v>283</v>
      </c>
      <c r="B39" s="258">
        <f>IF(ISNUMBER(B$38*B$27*B$13*10^-9*100),B$38*B$27*B$13*10^-9*100,"")</f>
        <v>66.719851702432948</v>
      </c>
      <c r="C39" s="258">
        <f t="shared" ref="C39:F39" si="15">IF(ISNUMBER(C$38*C$27*C$13*10^-9*100),C$38*C$27*C$13*10^-9*100,"")</f>
        <v>63.767145813052608</v>
      </c>
      <c r="D39" s="258">
        <f t="shared" si="15"/>
        <v>74.030549097696607</v>
      </c>
      <c r="E39" s="258">
        <f t="shared" si="15"/>
        <v>72.340330591355482</v>
      </c>
      <c r="F39" s="259">
        <f t="shared" si="15"/>
        <v>80.006492968614367</v>
      </c>
    </row>
    <row r="40" spans="1:6" x14ac:dyDescent="0.25">
      <c r="A40" s="208" t="str">
        <f>IF(B20="SSD", "Clinical %dd(10):", "Clinical TMR(10, 10x10):")</f>
        <v>Clinical %dd(10):</v>
      </c>
      <c r="B40" s="209">
        <v>66.400000000000006</v>
      </c>
      <c r="C40" s="209">
        <v>63.5</v>
      </c>
      <c r="D40" s="209">
        <v>73.5</v>
      </c>
      <c r="E40" s="209">
        <v>71.099999999999994</v>
      </c>
      <c r="F40" s="210">
        <v>79.5</v>
      </c>
    </row>
    <row r="41" spans="1:6" ht="24" thickBot="1" x14ac:dyDescent="0.45">
      <c r="A41" s="211" t="s">
        <v>284</v>
      </c>
      <c r="B41" s="212">
        <f>IF(ISNUMBER(B$39/B$40/B$22*100),B$39/B$40/B$22*100,"")</f>
        <v>1.0048170437113395</v>
      </c>
      <c r="C41" s="212">
        <f t="shared" ref="C41:F41" si="16">IF(ISNUMBER(C$39/C$40/C$22*100),C$39/C$40/C$22*100,"")</f>
        <v>1.0042070206779938</v>
      </c>
      <c r="D41" s="212">
        <f t="shared" si="16"/>
        <v>1.0072183550707021</v>
      </c>
      <c r="E41" s="212">
        <f t="shared" si="16"/>
        <v>1.0174448747026088</v>
      </c>
      <c r="F41" s="213">
        <f t="shared" si="16"/>
        <v>1.0063709807372876</v>
      </c>
    </row>
    <row r="42" spans="1:6" ht="18.75" x14ac:dyDescent="0.35">
      <c r="A42" s="214" t="s">
        <v>285</v>
      </c>
      <c r="B42" s="215">
        <v>12.19</v>
      </c>
      <c r="C42" s="215">
        <v>11.58</v>
      </c>
      <c r="D42" s="215">
        <v>13.63</v>
      </c>
      <c r="E42" s="215">
        <v>13.04</v>
      </c>
      <c r="F42" s="216">
        <f>AVERAGE(14.95,14.98)</f>
        <v>14.965</v>
      </c>
    </row>
    <row r="43" spans="1:6" x14ac:dyDescent="0.25">
      <c r="A43" s="217" t="s">
        <v>286</v>
      </c>
      <c r="B43" s="218">
        <f>IF(ISNUMBER(B$32*B$33*B$34*B$17*AVERAGE(B$42)),B$32*B$33*B$34*B$17*AVERAGE(B$42),"")</f>
        <v>12.431619544086285</v>
      </c>
      <c r="C43" s="218">
        <f t="shared" ref="C43:F43" si="17">IF(ISNUMBER(C$32*C$33*C$34*C$17*AVERAGE(C$42)),C$32*C$33*C$34*C$17*AVERAGE(C$42),"")</f>
        <v>11.841876650487897</v>
      </c>
      <c r="D43" s="218">
        <f t="shared" si="17"/>
        <v>13.909549585928936</v>
      </c>
      <c r="E43" s="218">
        <f t="shared" si="17"/>
        <v>13.385908893228859</v>
      </c>
      <c r="F43" s="198">
        <f t="shared" si="17"/>
        <v>15.268079846646923</v>
      </c>
    </row>
    <row r="44" spans="1:6" ht="18.75" x14ac:dyDescent="0.35">
      <c r="A44" s="217" t="s">
        <v>287</v>
      </c>
      <c r="B44" s="218">
        <f>IF(ISNUMBER(B$43*B$27*B$13*10^-9*100),B$43*B$27*B$13*10^-9*100,"")</f>
        <v>66.411131648284496</v>
      </c>
      <c r="C44" s="218">
        <f t="shared" ref="C44:F44" si="18">IF(ISNUMBER(C$43*C$27*C$13*10^-9*100),C$43*C$27*C$13*10^-9*100,"")</f>
        <v>63.511199700270872</v>
      </c>
      <c r="D44" s="218">
        <f t="shared" si="18"/>
        <v>73.509207202642415</v>
      </c>
      <c r="E44" s="218">
        <f t="shared" si="18"/>
        <v>71.08650421335912</v>
      </c>
      <c r="F44" s="198">
        <f t="shared" si="18"/>
        <v>79.537012883656814</v>
      </c>
    </row>
    <row r="45" spans="1:6" ht="24" thickBot="1" x14ac:dyDescent="0.45">
      <c r="A45" s="219" t="s">
        <v>288</v>
      </c>
      <c r="B45" s="220">
        <f>IF(ISNUMBER(B$44/B$40/B$22*100),B$44/B$40/B$22*100,"")</f>
        <v>1.0001676453054893</v>
      </c>
      <c r="C45" s="220">
        <f t="shared" ref="C45:F45" si="19">IF(ISNUMBER(C$44/C$40/C$22*100),C$44/C$40/C$22*100,"")</f>
        <v>1.0001763732326121</v>
      </c>
      <c r="D45" s="220">
        <f t="shared" si="19"/>
        <v>1.000125268063162</v>
      </c>
      <c r="E45" s="220">
        <f t="shared" si="19"/>
        <v>0.99981018584190051</v>
      </c>
      <c r="F45" s="221">
        <f t="shared" si="19"/>
        <v>1.0004655708636077</v>
      </c>
    </row>
    <row r="46" spans="1:6" ht="18.75" x14ac:dyDescent="0.35">
      <c r="A46" s="158" t="s">
        <v>289</v>
      </c>
      <c r="B46" s="222"/>
      <c r="C46" s="222"/>
      <c r="D46" s="222"/>
      <c r="E46" s="222"/>
      <c r="F46" s="223"/>
    </row>
    <row r="47" spans="1:6" ht="20.25" thickBot="1" x14ac:dyDescent="0.35">
      <c r="A47" s="224" t="s">
        <v>290</v>
      </c>
      <c r="B47" s="225"/>
      <c r="C47" s="225"/>
      <c r="D47" s="225"/>
      <c r="E47" s="225"/>
      <c r="F47" s="200"/>
    </row>
  </sheetData>
  <mergeCells count="12">
    <mergeCell ref="I23:J23"/>
    <mergeCell ref="A28:F28"/>
    <mergeCell ref="A35:A37"/>
    <mergeCell ref="A2:F2"/>
    <mergeCell ref="I2:N2"/>
    <mergeCell ref="A3:F3"/>
    <mergeCell ref="A9:F9"/>
    <mergeCell ref="A19:F19"/>
    <mergeCell ref="A23:F23"/>
    <mergeCell ref="I4:I7"/>
    <mergeCell ref="I9:I12"/>
    <mergeCell ref="I14:I16"/>
  </mergeCells>
  <conditionalFormatting sqref="B31:F31">
    <cfRule type="containsBlanks" dxfId="17" priority="1">
      <formula>LEN(TRIM(B31))=0</formula>
    </cfRule>
  </conditionalFormatting>
  <pageMargins left="0.7" right="0.7" top="0.75" bottom="0.75" header="0.3" footer="0.3"/>
  <pageSetup scale="36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49"/>
  <sheetViews>
    <sheetView topLeftCell="A4" zoomScaleNormal="100" workbookViewId="0">
      <selection activeCell="F26" sqref="F26"/>
    </sheetView>
  </sheetViews>
  <sheetFormatPr defaultRowHeight="12.75" x14ac:dyDescent="0.2"/>
  <cols>
    <col min="1" max="1" width="40.7109375" style="204" customWidth="1"/>
    <col min="2" max="6" width="20.7109375" style="204" customWidth="1"/>
    <col min="7" max="8" width="9.140625" style="204"/>
    <col min="9" max="9" width="15.7109375" style="204" customWidth="1"/>
    <col min="10" max="14" width="10.7109375" style="204" customWidth="1"/>
    <col min="15" max="16384" width="9.140625" style="204"/>
  </cols>
  <sheetData>
    <row r="1" spans="1:14" ht="16.5" thickBot="1" x14ac:dyDescent="0.3">
      <c r="A1" s="152"/>
      <c r="B1" s="153"/>
      <c r="C1" s="153"/>
      <c r="D1" s="153"/>
      <c r="E1" s="153"/>
      <c r="F1" s="153"/>
    </row>
    <row r="2" spans="1:14" ht="18.75" thickBot="1" x14ac:dyDescent="0.3">
      <c r="A2" s="607" t="str">
        <f>"Annual QA Nebraska Methodist Hospital - "&amp;B6&amp;" "&amp;B7</f>
        <v>Annual QA Nebraska Methodist Hospital - Varian Truebeam 3348</v>
      </c>
      <c r="B2" s="608"/>
      <c r="C2" s="608"/>
      <c r="D2" s="608"/>
      <c r="E2" s="608"/>
      <c r="F2" s="609"/>
      <c r="I2" s="600" t="s">
        <v>291</v>
      </c>
      <c r="J2" s="601"/>
      <c r="K2" s="601"/>
      <c r="L2" s="601"/>
      <c r="M2" s="601"/>
      <c r="N2" s="602"/>
    </row>
    <row r="3" spans="1:14" ht="18.75" thickBot="1" x14ac:dyDescent="0.3">
      <c r="A3" s="593" t="s">
        <v>240</v>
      </c>
      <c r="B3" s="594"/>
      <c r="C3" s="594"/>
      <c r="D3" s="594"/>
      <c r="E3" s="594"/>
      <c r="F3" s="595"/>
      <c r="I3" s="166"/>
      <c r="J3" s="226">
        <f>IF(B8="","",B8)</f>
        <v>6</v>
      </c>
      <c r="K3" s="226">
        <f>IF(C8="","",C8)</f>
        <v>9</v>
      </c>
      <c r="L3" s="226">
        <f>IF(D8="","",D8)</f>
        <v>12</v>
      </c>
      <c r="M3" s="226">
        <f>IF(E8="","",E8)</f>
        <v>16</v>
      </c>
      <c r="N3" s="227">
        <f>IF(F8="","",F8)</f>
        <v>20</v>
      </c>
    </row>
    <row r="4" spans="1:14" ht="20.25" thickBot="1" x14ac:dyDescent="0.4">
      <c r="A4" s="158" t="s">
        <v>241</v>
      </c>
      <c r="B4" s="159" t="s">
        <v>242</v>
      </c>
      <c r="C4" s="160" t="str">
        <f>IF(ISBLANK($B4),"",$B4)</f>
        <v>WSF</v>
      </c>
      <c r="D4" s="160" t="str">
        <f t="shared" ref="D4:F7" si="0">IF(ISBLANK($B4),"",$B4)</f>
        <v>WSF</v>
      </c>
      <c r="E4" s="160" t="str">
        <f t="shared" si="0"/>
        <v>WSF</v>
      </c>
      <c r="F4" s="161" t="str">
        <f t="shared" si="0"/>
        <v>WSF</v>
      </c>
      <c r="I4" s="282" t="s">
        <v>310</v>
      </c>
      <c r="J4" s="292">
        <f>B26</f>
        <v>1.3105900066225162</v>
      </c>
      <c r="K4" s="292">
        <f>C26</f>
        <v>2.0651704728915656</v>
      </c>
      <c r="L4" s="292">
        <f>D26</f>
        <v>2.9461396170212764</v>
      </c>
      <c r="M4" s="292">
        <f>E26</f>
        <v>3.967946</v>
      </c>
      <c r="N4" s="293">
        <f>F26</f>
        <v>4.9481603749999996</v>
      </c>
    </row>
    <row r="5" spans="1:14" ht="16.5" customHeight="1" x14ac:dyDescent="0.25">
      <c r="A5" s="162" t="s">
        <v>228</v>
      </c>
      <c r="B5" s="163">
        <v>45717</v>
      </c>
      <c r="C5" s="164">
        <f t="shared" ref="C5:C7" si="1">IF(ISBLANK($B5),"",$B5)</f>
        <v>45717</v>
      </c>
      <c r="D5" s="164">
        <f t="shared" si="0"/>
        <v>45717</v>
      </c>
      <c r="E5" s="164">
        <f t="shared" si="0"/>
        <v>45717</v>
      </c>
      <c r="F5" s="165">
        <f t="shared" si="0"/>
        <v>45717</v>
      </c>
      <c r="I5" s="603" t="str" cm="1">
        <f t="array" ref="I5">"Reference:"&amp;CHAR(10)&amp;"M("&amp;_xlfn.IFS($B$32&gt;0,"+",$B$32&lt;0,"",TRUE,"???")&amp;$B$32&amp;"V)"</f>
        <v>Reference:
M(+300V)</v>
      </c>
      <c r="J5" s="294">
        <f>IF(B32=300, 300,-300)</f>
        <v>300</v>
      </c>
      <c r="K5" s="294">
        <f>IF(C32=300, 300,-300)</f>
        <v>300</v>
      </c>
      <c r="L5" s="294">
        <f>IF(L3="","",IF(D32=300, 300,-300))</f>
        <v>300</v>
      </c>
      <c r="M5" s="294">
        <f>IF(M3="","",IF(E32=300, 300,-300))</f>
        <v>300</v>
      </c>
      <c r="N5" s="295">
        <f>IF(N3="","",IF(F32=300, 300,-300))</f>
        <v>300</v>
      </c>
    </row>
    <row r="6" spans="1:14" ht="15.75" x14ac:dyDescent="0.25">
      <c r="A6" s="162" t="s">
        <v>243</v>
      </c>
      <c r="B6" s="167" t="s">
        <v>244</v>
      </c>
      <c r="C6" s="168" t="str">
        <f t="shared" si="1"/>
        <v>Varian Truebeam</v>
      </c>
      <c r="D6" s="168" t="str">
        <f t="shared" si="0"/>
        <v>Varian Truebeam</v>
      </c>
      <c r="E6" s="168" t="str">
        <f t="shared" si="0"/>
        <v>Varian Truebeam</v>
      </c>
      <c r="F6" s="169" t="str">
        <f t="shared" si="0"/>
        <v>Varian Truebeam</v>
      </c>
      <c r="I6" s="604"/>
      <c r="J6" s="288">
        <v>19.7</v>
      </c>
      <c r="K6" s="289">
        <v>19.87</v>
      </c>
      <c r="L6" s="289">
        <v>20.09</v>
      </c>
      <c r="M6" s="289">
        <v>20.05</v>
      </c>
      <c r="N6" s="290">
        <v>19.55</v>
      </c>
    </row>
    <row r="7" spans="1:14" ht="15.75" x14ac:dyDescent="0.25">
      <c r="A7" s="162" t="s">
        <v>245</v>
      </c>
      <c r="B7" s="167">
        <v>3348</v>
      </c>
      <c r="C7" s="168">
        <f t="shared" si="1"/>
        <v>3348</v>
      </c>
      <c r="D7" s="168">
        <f t="shared" si="0"/>
        <v>3348</v>
      </c>
      <c r="E7" s="168">
        <f t="shared" si="0"/>
        <v>3348</v>
      </c>
      <c r="F7" s="169">
        <f t="shared" si="0"/>
        <v>3348</v>
      </c>
      <c r="I7" s="604"/>
      <c r="J7" s="171">
        <v>19.71</v>
      </c>
      <c r="K7" s="171">
        <v>19.89</v>
      </c>
      <c r="L7" s="171">
        <v>20.09</v>
      </c>
      <c r="M7" s="171">
        <v>20.03</v>
      </c>
      <c r="N7" s="172">
        <v>19.55</v>
      </c>
    </row>
    <row r="8" spans="1:14" ht="18.75" thickBot="1" x14ac:dyDescent="0.3">
      <c r="A8" s="170" t="s">
        <v>292</v>
      </c>
      <c r="B8" s="228">
        <v>6</v>
      </c>
      <c r="C8" s="228">
        <v>9</v>
      </c>
      <c r="D8" s="228">
        <v>12</v>
      </c>
      <c r="E8" s="228">
        <v>16</v>
      </c>
      <c r="F8" s="229">
        <v>20</v>
      </c>
      <c r="I8" s="605"/>
      <c r="J8" s="173"/>
      <c r="K8" s="173"/>
      <c r="L8" s="173"/>
      <c r="M8" s="173"/>
      <c r="N8" s="174"/>
    </row>
    <row r="9" spans="1:14" ht="18.75" thickBot="1" x14ac:dyDescent="0.3">
      <c r="A9" s="593" t="s">
        <v>247</v>
      </c>
      <c r="B9" s="594"/>
      <c r="C9" s="594"/>
      <c r="D9" s="594"/>
      <c r="E9" s="594"/>
      <c r="F9" s="595"/>
      <c r="I9" s="283" t="s">
        <v>29</v>
      </c>
      <c r="J9" s="260">
        <f>IF(ISNUMBER(AVERAGE(J6:J8)),AVERAGE(J6:J8),"")</f>
        <v>19.704999999999998</v>
      </c>
      <c r="K9" s="260">
        <f t="shared" ref="K9:N9" si="2">IF(ISNUMBER(AVERAGE(K6:K8)),AVERAGE(K6:K8),"")</f>
        <v>19.880000000000003</v>
      </c>
      <c r="L9" s="260">
        <f t="shared" si="2"/>
        <v>20.09</v>
      </c>
      <c r="M9" s="260">
        <f t="shared" si="2"/>
        <v>20.04</v>
      </c>
      <c r="N9" s="261">
        <f t="shared" si="2"/>
        <v>19.55</v>
      </c>
    </row>
    <row r="10" spans="1:14" ht="15.75" customHeight="1" x14ac:dyDescent="0.25">
      <c r="A10" s="158" t="s">
        <v>248</v>
      </c>
      <c r="B10" s="159" t="s">
        <v>249</v>
      </c>
      <c r="C10" s="160" t="str">
        <f t="shared" ref="C10:F22" si="3">IF(ISBLANK($B10),"",$B10)</f>
        <v>N30013</v>
      </c>
      <c r="D10" s="160" t="str">
        <f t="shared" si="3"/>
        <v>N30013</v>
      </c>
      <c r="E10" s="160" t="str">
        <f t="shared" si="3"/>
        <v>N30013</v>
      </c>
      <c r="F10" s="161" t="str">
        <f t="shared" si="3"/>
        <v>N30013</v>
      </c>
      <c r="I10" s="603" t="str" cm="1">
        <f t="array" ref="I10">"Low:"&amp;CHAR(10)&amp;"M("&amp;_xlfn.IFS($B$32&gt;0,"+",$B$32&lt;0,"",TRUE,"???")&amp;$B$32/2&amp;"V)"</f>
        <v>Low:
M(+150V)</v>
      </c>
      <c r="J10" s="262">
        <f>IF(J5=300,150,-150)</f>
        <v>150</v>
      </c>
      <c r="K10" s="262">
        <f>IF(K5=300,150,-150)</f>
        <v>150</v>
      </c>
      <c r="L10" s="262">
        <f>IF(L3="","",IF(L5=300,150,-150))</f>
        <v>150</v>
      </c>
      <c r="M10" s="262">
        <f>IF(M3="","",IF(M5=300,150,-150))</f>
        <v>150</v>
      </c>
      <c r="N10" s="263">
        <f>IF(N3="","",IF(N5=300,150,-150))</f>
        <v>150</v>
      </c>
    </row>
    <row r="11" spans="1:14" ht="15.75" x14ac:dyDescent="0.25">
      <c r="A11" s="162" t="s">
        <v>250</v>
      </c>
      <c r="B11" s="167">
        <v>9244</v>
      </c>
      <c r="C11" s="168">
        <f t="shared" si="3"/>
        <v>9244</v>
      </c>
      <c r="D11" s="168">
        <f t="shared" si="3"/>
        <v>9244</v>
      </c>
      <c r="E11" s="168">
        <f t="shared" si="3"/>
        <v>9244</v>
      </c>
      <c r="F11" s="169">
        <f t="shared" si="3"/>
        <v>9244</v>
      </c>
      <c r="I11" s="604"/>
      <c r="J11" s="171">
        <v>19.48</v>
      </c>
      <c r="K11" s="171">
        <v>19.649999999999999</v>
      </c>
      <c r="L11" s="171">
        <v>19.850000000000001</v>
      </c>
      <c r="M11" s="171">
        <v>19.8</v>
      </c>
      <c r="N11" s="172">
        <v>19.32</v>
      </c>
    </row>
    <row r="12" spans="1:14" ht="15.75" x14ac:dyDescent="0.25">
      <c r="A12" s="162" t="s">
        <v>251</v>
      </c>
      <c r="B12" s="167">
        <v>0.30499999999999999</v>
      </c>
      <c r="C12" s="168">
        <f t="shared" si="3"/>
        <v>0.30499999999999999</v>
      </c>
      <c r="D12" s="168">
        <f t="shared" si="3"/>
        <v>0.30499999999999999</v>
      </c>
      <c r="E12" s="168">
        <f t="shared" si="3"/>
        <v>0.30499999999999999</v>
      </c>
      <c r="F12" s="169">
        <f t="shared" si="3"/>
        <v>0.30499999999999999</v>
      </c>
      <c r="I12" s="604"/>
      <c r="J12" s="171">
        <v>19.48</v>
      </c>
      <c r="K12" s="171">
        <v>19.66</v>
      </c>
      <c r="L12" s="171"/>
      <c r="M12" s="171"/>
      <c r="N12" s="172"/>
    </row>
    <row r="13" spans="1:14" ht="20.25" x14ac:dyDescent="0.35">
      <c r="A13" s="162" t="s">
        <v>309</v>
      </c>
      <c r="B13" s="175">
        <v>53990000</v>
      </c>
      <c r="C13" s="176">
        <f t="shared" si="3"/>
        <v>53990000</v>
      </c>
      <c r="D13" s="176">
        <f t="shared" si="3"/>
        <v>53990000</v>
      </c>
      <c r="E13" s="176">
        <f t="shared" si="3"/>
        <v>53990000</v>
      </c>
      <c r="F13" s="177">
        <f t="shared" si="3"/>
        <v>53990000</v>
      </c>
      <c r="I13" s="605"/>
      <c r="J13" s="173"/>
      <c r="K13" s="173"/>
      <c r="L13" s="173"/>
      <c r="M13" s="173"/>
      <c r="N13" s="174"/>
    </row>
    <row r="14" spans="1:14" ht="16.5" thickBot="1" x14ac:dyDescent="0.3">
      <c r="A14" s="170" t="s">
        <v>252</v>
      </c>
      <c r="B14" s="178">
        <v>45531</v>
      </c>
      <c r="C14" s="179">
        <f t="shared" si="3"/>
        <v>45531</v>
      </c>
      <c r="D14" s="179">
        <f t="shared" si="3"/>
        <v>45531</v>
      </c>
      <c r="E14" s="179">
        <f t="shared" si="3"/>
        <v>45531</v>
      </c>
      <c r="F14" s="180">
        <f t="shared" si="3"/>
        <v>45531</v>
      </c>
      <c r="I14" s="283" t="s">
        <v>29</v>
      </c>
      <c r="J14" s="260">
        <f>IF(ISNUMBER(AVERAGE(J11:J13)),AVERAGE(J11:J13),"")</f>
        <v>19.48</v>
      </c>
      <c r="K14" s="260">
        <f t="shared" ref="K14:N14" si="4">IF(ISNUMBER(AVERAGE(K11:K13)),AVERAGE(K11:K13),"")</f>
        <v>19.655000000000001</v>
      </c>
      <c r="L14" s="260">
        <f t="shared" si="4"/>
        <v>19.850000000000001</v>
      </c>
      <c r="M14" s="260">
        <f t="shared" si="4"/>
        <v>19.8</v>
      </c>
      <c r="N14" s="261">
        <f t="shared" si="4"/>
        <v>19.32</v>
      </c>
    </row>
    <row r="15" spans="1:14" ht="15.75" customHeight="1" x14ac:dyDescent="0.25">
      <c r="A15" s="158" t="s">
        <v>253</v>
      </c>
      <c r="B15" s="159" t="s">
        <v>254</v>
      </c>
      <c r="C15" s="160" t="str">
        <f t="shared" si="3"/>
        <v>Supermax</v>
      </c>
      <c r="D15" s="160" t="str">
        <f t="shared" si="3"/>
        <v>Supermax</v>
      </c>
      <c r="E15" s="160" t="str">
        <f t="shared" si="3"/>
        <v>Supermax</v>
      </c>
      <c r="F15" s="161" t="str">
        <f t="shared" si="3"/>
        <v>Supermax</v>
      </c>
      <c r="I15" s="603" t="str" cm="1">
        <f t="array" ref="I15">"Reverse:"&amp;CHAR(10)&amp;"M("&amp;_xlfn.IFS($B$32&lt;0,"+",$B$32&gt;0,"",TRUE,"???")&amp;-1*$B$32&amp;"V)"</f>
        <v>Reverse:
M(-300V)</v>
      </c>
      <c r="J15" s="181">
        <v>19.649999999999999</v>
      </c>
      <c r="K15" s="171">
        <v>19.829999999999998</v>
      </c>
      <c r="L15" s="171">
        <v>20.03</v>
      </c>
      <c r="M15" s="171">
        <v>20</v>
      </c>
      <c r="N15" s="182">
        <v>19.52</v>
      </c>
    </row>
    <row r="16" spans="1:14" ht="15.75" x14ac:dyDescent="0.25">
      <c r="A16" s="162" t="s">
        <v>255</v>
      </c>
      <c r="B16" s="167" t="s">
        <v>256</v>
      </c>
      <c r="C16" s="168" t="str">
        <f t="shared" si="3"/>
        <v>R172001</v>
      </c>
      <c r="D16" s="168" t="str">
        <f t="shared" si="3"/>
        <v>R172001</v>
      </c>
      <c r="E16" s="168" t="str">
        <f t="shared" si="3"/>
        <v>R172001</v>
      </c>
      <c r="F16" s="169" t="str">
        <f t="shared" si="3"/>
        <v>R172001</v>
      </c>
      <c r="I16" s="604"/>
      <c r="J16" s="171">
        <v>19.63</v>
      </c>
      <c r="K16" s="171">
        <v>19.82</v>
      </c>
      <c r="L16" s="171"/>
      <c r="M16" s="171"/>
      <c r="N16" s="172"/>
    </row>
    <row r="17" spans="1:14" ht="18.75" x14ac:dyDescent="0.35">
      <c r="A17" s="162" t="s">
        <v>257</v>
      </c>
      <c r="B17" s="183">
        <v>0.999</v>
      </c>
      <c r="C17" s="184">
        <f t="shared" si="3"/>
        <v>0.999</v>
      </c>
      <c r="D17" s="184">
        <f t="shared" si="3"/>
        <v>0.999</v>
      </c>
      <c r="E17" s="184">
        <f t="shared" si="3"/>
        <v>0.999</v>
      </c>
      <c r="F17" s="185">
        <f t="shared" si="3"/>
        <v>0.999</v>
      </c>
      <c r="I17" s="605"/>
      <c r="J17" s="173"/>
      <c r="K17" s="173"/>
      <c r="L17" s="173"/>
      <c r="M17" s="173"/>
      <c r="N17" s="174"/>
    </row>
    <row r="18" spans="1:14" ht="16.5" thickBot="1" x14ac:dyDescent="0.3">
      <c r="A18" s="170" t="s">
        <v>252</v>
      </c>
      <c r="B18" s="178">
        <v>45201</v>
      </c>
      <c r="C18" s="179">
        <f t="shared" si="3"/>
        <v>45201</v>
      </c>
      <c r="D18" s="179">
        <f t="shared" si="3"/>
        <v>45201</v>
      </c>
      <c r="E18" s="179">
        <f t="shared" si="3"/>
        <v>45201</v>
      </c>
      <c r="F18" s="180">
        <f t="shared" si="3"/>
        <v>45201</v>
      </c>
      <c r="I18" s="283" t="s">
        <v>29</v>
      </c>
      <c r="J18" s="260">
        <f>IF(ISNUMBER(AVERAGE(J15:J17)),AVERAGE(J15:J17),"")</f>
        <v>19.64</v>
      </c>
      <c r="K18" s="260">
        <f t="shared" ref="K18:N18" si="5">IF(ISNUMBER(AVERAGE(K15:K17)),AVERAGE(K15:K17),"")</f>
        <v>19.824999999999999</v>
      </c>
      <c r="L18" s="260">
        <f t="shared" si="5"/>
        <v>20.03</v>
      </c>
      <c r="M18" s="260">
        <f t="shared" si="5"/>
        <v>20</v>
      </c>
      <c r="N18" s="261">
        <f t="shared" si="5"/>
        <v>19.52</v>
      </c>
    </row>
    <row r="19" spans="1:14" ht="18.75" thickBot="1" x14ac:dyDescent="0.3">
      <c r="A19" s="593" t="s">
        <v>258</v>
      </c>
      <c r="B19" s="594"/>
      <c r="C19" s="594"/>
      <c r="D19" s="594"/>
      <c r="E19" s="594"/>
      <c r="F19" s="595"/>
      <c r="I19" s="291" t="s">
        <v>295</v>
      </c>
      <c r="J19" s="296">
        <f>B26+(0.5*B12)</f>
        <v>1.4630900066225163</v>
      </c>
      <c r="K19" s="297">
        <f>C26+(0.5*C12)</f>
        <v>2.2176704728915655</v>
      </c>
      <c r="L19" s="297">
        <f>D26+(0.5*D12)</f>
        <v>3.0986396170212762</v>
      </c>
      <c r="M19" s="297">
        <f>E26+(0.5*E12)</f>
        <v>4.1204460000000003</v>
      </c>
      <c r="N19" s="298">
        <f>F26+(0.5*F12)</f>
        <v>5.1006603749999995</v>
      </c>
    </row>
    <row r="20" spans="1:14" ht="19.5" customHeight="1" x14ac:dyDescent="0.25">
      <c r="A20" s="162" t="s">
        <v>293</v>
      </c>
      <c r="B20" s="167" t="s">
        <v>260</v>
      </c>
      <c r="C20" s="168" t="str">
        <f t="shared" si="3"/>
        <v>SSD</v>
      </c>
      <c r="D20" s="168" t="str">
        <f t="shared" si="3"/>
        <v>SSD</v>
      </c>
      <c r="E20" s="168" t="str">
        <f t="shared" si="3"/>
        <v>SSD</v>
      </c>
      <c r="F20" s="169" t="str">
        <f t="shared" si="3"/>
        <v>SSD</v>
      </c>
      <c r="I20" s="610" t="s">
        <v>297</v>
      </c>
      <c r="J20" s="171">
        <v>19.649999999999999</v>
      </c>
      <c r="K20" s="171">
        <v>19.850000000000001</v>
      </c>
      <c r="L20" s="171">
        <v>20.010000000000002</v>
      </c>
      <c r="M20" s="171">
        <v>19.93</v>
      </c>
      <c r="N20" s="172">
        <v>19.43</v>
      </c>
    </row>
    <row r="21" spans="1:14" ht="18.75" x14ac:dyDescent="0.25">
      <c r="A21" s="162" t="s">
        <v>294</v>
      </c>
      <c r="B21" s="167">
        <v>10</v>
      </c>
      <c r="C21" s="168">
        <f t="shared" si="3"/>
        <v>10</v>
      </c>
      <c r="D21" s="168">
        <f t="shared" si="3"/>
        <v>10</v>
      </c>
      <c r="E21" s="168">
        <f t="shared" si="3"/>
        <v>10</v>
      </c>
      <c r="F21" s="169">
        <f t="shared" si="3"/>
        <v>10</v>
      </c>
      <c r="I21" s="611"/>
      <c r="J21" s="171">
        <v>19.64</v>
      </c>
      <c r="K21" s="171">
        <v>19.84</v>
      </c>
      <c r="L21" s="171"/>
      <c r="M21" s="171"/>
      <c r="N21" s="172"/>
    </row>
    <row r="22" spans="1:14" ht="16.5" thickBot="1" x14ac:dyDescent="0.3">
      <c r="A22" s="170" t="s">
        <v>262</v>
      </c>
      <c r="B22" s="230">
        <v>100</v>
      </c>
      <c r="C22" s="231">
        <f t="shared" si="3"/>
        <v>100</v>
      </c>
      <c r="D22" s="231">
        <f t="shared" si="3"/>
        <v>100</v>
      </c>
      <c r="E22" s="231">
        <f t="shared" si="3"/>
        <v>100</v>
      </c>
      <c r="F22" s="232">
        <f t="shared" si="3"/>
        <v>100</v>
      </c>
      <c r="I22" s="612"/>
      <c r="J22" s="173"/>
      <c r="K22" s="173"/>
      <c r="L22" s="173"/>
      <c r="M22" s="173"/>
      <c r="N22" s="174"/>
    </row>
    <row r="23" spans="1:14" ht="18.75" thickBot="1" x14ac:dyDescent="0.3">
      <c r="A23" s="593" t="s">
        <v>263</v>
      </c>
      <c r="B23" s="594"/>
      <c r="C23" s="594"/>
      <c r="D23" s="594"/>
      <c r="E23" s="594"/>
      <c r="F23" s="595"/>
      <c r="I23" s="283" t="s">
        <v>29</v>
      </c>
      <c r="J23" s="260">
        <f>IF(ISNUMBER(AVERAGE(J20:J22)),AVERAGE(J20:J22),"")</f>
        <v>19.645</v>
      </c>
      <c r="K23" s="260">
        <f t="shared" ref="K23:N23" si="6">IF(ISNUMBER(AVERAGE(K20:K22)),AVERAGE(K20:K22),"")</f>
        <v>19.844999999999999</v>
      </c>
      <c r="L23" s="260">
        <f t="shared" si="6"/>
        <v>20.010000000000002</v>
      </c>
      <c r="M23" s="260">
        <f t="shared" si="6"/>
        <v>19.93</v>
      </c>
      <c r="N23" s="261">
        <f t="shared" si="6"/>
        <v>19.43</v>
      </c>
    </row>
    <row r="24" spans="1:14" ht="18.75" x14ac:dyDescent="0.35">
      <c r="A24" s="158" t="s">
        <v>296</v>
      </c>
      <c r="B24" s="233">
        <f>PDDs!N9</f>
        <v>2.3430353200883003</v>
      </c>
      <c r="C24" s="233">
        <f>PDDs!N10</f>
        <v>3.5652259036144578</v>
      </c>
      <c r="D24" s="233">
        <f>PDDs!N11</f>
        <v>4.9921276595744679</v>
      </c>
      <c r="E24" s="233">
        <f>PDDs!N12</f>
        <v>6.6471428571428577</v>
      </c>
      <c r="F24" s="234">
        <f>PDDs!N13</f>
        <v>8.2347916666666663</v>
      </c>
      <c r="I24" s="153"/>
      <c r="J24" s="153"/>
      <c r="K24" s="153"/>
      <c r="L24" s="153"/>
      <c r="M24" s="153"/>
      <c r="N24" s="153"/>
    </row>
    <row r="25" spans="1:14" ht="18.75" x14ac:dyDescent="0.35">
      <c r="A25" s="162" t="s">
        <v>298</v>
      </c>
      <c r="B25" s="254">
        <f>IF(B8="","",IF(B24&lt;=10,(1.029*B24)-0.06,(1.059*B24)-0.37))</f>
        <v>2.3509833443708605</v>
      </c>
      <c r="C25" s="254">
        <f>IF(C8="","",IF(C24&lt;=10,(1.029*C24)-0.06,(1.059*C24)-0.37))</f>
        <v>3.6086174548192766</v>
      </c>
      <c r="D25" s="254">
        <f>IF(D8="","",IF(D24&lt;=10,(1.029*D24)-0.06,(1.059*D24)-0.37))</f>
        <v>5.0768993617021279</v>
      </c>
      <c r="E25" s="254">
        <f>IF(E8="","",IF(E24&lt;=10,(1.029*E24)-0.06,(1.059*E24)-0.37))</f>
        <v>6.7799100000000001</v>
      </c>
      <c r="F25" s="255">
        <f>IF(F8="","",IF(F24&lt;=10,(1.029*F24)-0.06,(1.059*F24)-0.37))</f>
        <v>8.4136006249999991</v>
      </c>
      <c r="I25" s="153"/>
      <c r="J25" s="153"/>
      <c r="K25" s="153"/>
      <c r="L25" s="153"/>
      <c r="M25" s="153"/>
      <c r="N25" s="153"/>
    </row>
    <row r="26" spans="1:14" ht="16.5" thickBot="1" x14ac:dyDescent="0.3">
      <c r="A26" s="162" t="s">
        <v>299</v>
      </c>
      <c r="B26" s="256">
        <f>IF(B8="","",(0.6*B25)-0.1)</f>
        <v>1.3105900066225162</v>
      </c>
      <c r="C26" s="256">
        <f>IF(C8="","",(0.6*C25)-0.1)</f>
        <v>2.0651704728915656</v>
      </c>
      <c r="D26" s="256">
        <f>IF(D8="","",(0.6*D25)-0.1)</f>
        <v>2.9461396170212764</v>
      </c>
      <c r="E26" s="256">
        <f>IF(E8="","",(0.6*E25)-0.1)</f>
        <v>3.967946</v>
      </c>
      <c r="F26" s="257">
        <f>IF(F8="","",(0.6*F25)-0.1)</f>
        <v>4.9481603749999996</v>
      </c>
      <c r="I26" s="153"/>
      <c r="J26" s="153"/>
      <c r="K26" s="153"/>
      <c r="L26" s="153"/>
      <c r="M26" s="153"/>
      <c r="N26" s="153"/>
    </row>
    <row r="27" spans="1:14" ht="19.5" thickBot="1" x14ac:dyDescent="0.4">
      <c r="A27" s="162" t="s">
        <v>300</v>
      </c>
      <c r="B27" s="183">
        <v>0.89700000000000002</v>
      </c>
      <c r="C27" s="183">
        <v>0.89700000000000002</v>
      </c>
      <c r="D27" s="183">
        <v>0.89700000000000002</v>
      </c>
      <c r="E27" s="183">
        <v>0.89700000000000002</v>
      </c>
      <c r="F27" s="198">
        <v>0.89700000000000002</v>
      </c>
      <c r="I27" s="191" t="s">
        <v>265</v>
      </c>
      <c r="J27" s="192"/>
      <c r="K27" s="193" t="s">
        <v>266</v>
      </c>
      <c r="L27" s="192"/>
      <c r="M27" s="194"/>
      <c r="N27" s="153"/>
    </row>
    <row r="28" spans="1:14" ht="19.5" thickBot="1" x14ac:dyDescent="0.4">
      <c r="A28" s="162" t="s">
        <v>301</v>
      </c>
      <c r="B28" s="258">
        <f>IF(B8="","",0.9905+0.071*EXP(-B25/3.67))</f>
        <v>1.0279154963801167</v>
      </c>
      <c r="C28" s="258">
        <f>IF(C8="","",0.9905+0.071*EXP(-C25/3.67))</f>
        <v>1.0170599745444606</v>
      </c>
      <c r="D28" s="258">
        <f>IF(D8="","",0.9905+0.071*EXP(-D25/3.67))</f>
        <v>1.0083023158421491</v>
      </c>
      <c r="E28" s="258">
        <f>IF(E8="","",0.9905+0.071*EXP(-E25/3.67))</f>
        <v>1.0016930489488114</v>
      </c>
      <c r="F28" s="259">
        <f>IF(F8="","",0.9905+0.071*EXP(-F25/3.67))</f>
        <v>0.99767172095046242</v>
      </c>
    </row>
    <row r="29" spans="1:14" ht="18.75" thickBot="1" x14ac:dyDescent="0.3">
      <c r="A29" s="593" t="s">
        <v>271</v>
      </c>
      <c r="B29" s="594"/>
      <c r="C29" s="594"/>
      <c r="D29" s="594"/>
      <c r="E29" s="594"/>
      <c r="F29" s="595"/>
    </row>
    <row r="30" spans="1:14" ht="15.75" x14ac:dyDescent="0.25">
      <c r="A30" s="158" t="s">
        <v>272</v>
      </c>
      <c r="B30" s="189">
        <v>19.649999999999999</v>
      </c>
      <c r="C30" s="237">
        <v>19.649999999999999</v>
      </c>
      <c r="D30" s="237">
        <v>19.649999999999999</v>
      </c>
      <c r="E30" s="237">
        <v>19.649999999999999</v>
      </c>
      <c r="F30" s="238">
        <v>19.649999999999999</v>
      </c>
    </row>
    <row r="31" spans="1:14" ht="15.75" x14ac:dyDescent="0.25">
      <c r="A31" s="162" t="s">
        <v>311</v>
      </c>
      <c r="B31" s="251">
        <v>740.2</v>
      </c>
      <c r="C31" s="251">
        <v>740.2</v>
      </c>
      <c r="D31" s="235">
        <v>740.2</v>
      </c>
      <c r="E31" s="251">
        <v>740.2</v>
      </c>
      <c r="F31" s="236">
        <v>740.2</v>
      </c>
    </row>
    <row r="32" spans="1:14" ht="15.75" x14ac:dyDescent="0.25">
      <c r="A32" s="162" t="s">
        <v>275</v>
      </c>
      <c r="B32" s="203">
        <v>300</v>
      </c>
      <c r="C32" s="235">
        <f t="shared" ref="C32:F32" si="7">B32</f>
        <v>300</v>
      </c>
      <c r="D32" s="235">
        <f t="shared" si="7"/>
        <v>300</v>
      </c>
      <c r="E32" s="235">
        <f t="shared" si="7"/>
        <v>300</v>
      </c>
      <c r="F32" s="236">
        <f t="shared" si="7"/>
        <v>300</v>
      </c>
    </row>
    <row r="33" spans="1:6" ht="18.75" x14ac:dyDescent="0.35">
      <c r="A33" s="162" t="s">
        <v>277</v>
      </c>
      <c r="B33" s="258">
        <f>IF(AND(ISNUMBER(B30),ISNUMBER(B31)),((273.2+B30)/295.2)*(760/B31),"")</f>
        <v>1.0185758774637192</v>
      </c>
      <c r="C33" s="258">
        <f t="shared" ref="C33:F33" si="8">IF(AND(ISNUMBER(C30),ISNUMBER(C31)),((273.2+C30)/295.2)*(760/C31),"")</f>
        <v>1.0185758774637192</v>
      </c>
      <c r="D33" s="258">
        <f t="shared" si="8"/>
        <v>1.0185758774637192</v>
      </c>
      <c r="E33" s="258">
        <f t="shared" si="8"/>
        <v>1.0185758774637192</v>
      </c>
      <c r="F33" s="259">
        <f t="shared" si="8"/>
        <v>1.0185758774637192</v>
      </c>
    </row>
    <row r="34" spans="1:6" ht="18.75" x14ac:dyDescent="0.35">
      <c r="A34" s="162" t="s">
        <v>279</v>
      </c>
      <c r="B34" s="258">
        <f>IF(ISNUMBER((J9+J18)/(2*J9)),(J9+J18)/(2*J9),"")</f>
        <v>0.99835067241816799</v>
      </c>
      <c r="C34" s="258">
        <f t="shared" ref="C34:F34" si="9">IF(ISNUMBER((K9+K18)/(2*K9)),(K9+K18)/(2*K9),"")</f>
        <v>0.99861670020120707</v>
      </c>
      <c r="D34" s="258">
        <f t="shared" si="9"/>
        <v>0.9985067197610753</v>
      </c>
      <c r="E34" s="258">
        <f t="shared" si="9"/>
        <v>0.99900199600798401</v>
      </c>
      <c r="F34" s="259">
        <f t="shared" si="9"/>
        <v>0.99923273657289002</v>
      </c>
    </row>
    <row r="35" spans="1:6" ht="18.75" x14ac:dyDescent="0.35">
      <c r="A35" s="162" t="s">
        <v>280</v>
      </c>
      <c r="B35" s="258">
        <f>IF(ISNUMBER(((1-(J5/J10))/((J9/J14)-(J5/J10)))),((1-(J5/J10))/((J9/J14)-(J5/J10))),"")</f>
        <v>1.0116852765515449</v>
      </c>
      <c r="C35" s="258">
        <f t="shared" ref="C35:F35" si="10">IF(ISNUMBER(((1-(K5/K10))/((K9/K14)-(K5/K10)))),((1-(K5/K10))/((K9/K14)-(K5/K10))),"")</f>
        <v>1.0115800308800824</v>
      </c>
      <c r="D35" s="258">
        <f t="shared" si="10"/>
        <v>1.0122386537480876</v>
      </c>
      <c r="E35" s="258">
        <f t="shared" si="10"/>
        <v>1.0122699386503067</v>
      </c>
      <c r="F35" s="259">
        <f t="shared" si="10"/>
        <v>1.0120481927710843</v>
      </c>
    </row>
    <row r="36" spans="1:6" ht="20.25" x14ac:dyDescent="0.35">
      <c r="A36" s="162" t="s">
        <v>302</v>
      </c>
      <c r="B36" s="258">
        <f>IF(ISNUMBER(J23/J9),J23/J9,"")</f>
        <v>0.9969550875412333</v>
      </c>
      <c r="C36" s="258">
        <f t="shared" ref="C36:F36" si="11">IF(ISNUMBER(K23/K9),K23/K9,"")</f>
        <v>0.99823943661971815</v>
      </c>
      <c r="D36" s="258">
        <f t="shared" si="11"/>
        <v>0.99601791936286721</v>
      </c>
      <c r="E36" s="258">
        <f t="shared" si="11"/>
        <v>0.9945109780439122</v>
      </c>
      <c r="F36" s="259">
        <f t="shared" si="11"/>
        <v>0.99386189258312019</v>
      </c>
    </row>
    <row r="37" spans="1:6" ht="18.75" customHeight="1" x14ac:dyDescent="0.2">
      <c r="A37" s="606" t="s">
        <v>281</v>
      </c>
      <c r="B37" s="496">
        <v>19.71</v>
      </c>
      <c r="C37" s="497">
        <f t="shared" ref="C37:F38" si="12">K6</f>
        <v>19.87</v>
      </c>
      <c r="D37" s="496">
        <f t="shared" si="12"/>
        <v>20.09</v>
      </c>
      <c r="E37" s="497">
        <f t="shared" si="12"/>
        <v>20.05</v>
      </c>
      <c r="F37" s="498">
        <f t="shared" si="12"/>
        <v>19.55</v>
      </c>
    </row>
    <row r="38" spans="1:6" ht="15" x14ac:dyDescent="0.2">
      <c r="A38" s="606"/>
      <c r="B38" s="496">
        <v>19.71</v>
      </c>
      <c r="C38" s="497">
        <f t="shared" si="12"/>
        <v>19.89</v>
      </c>
      <c r="D38" s="496">
        <f t="shared" si="12"/>
        <v>20.09</v>
      </c>
      <c r="E38" s="497">
        <f t="shared" si="12"/>
        <v>20.03</v>
      </c>
      <c r="F38" s="498">
        <f t="shared" si="12"/>
        <v>19.55</v>
      </c>
    </row>
    <row r="39" spans="1:6" ht="15.75" customHeight="1" x14ac:dyDescent="0.2">
      <c r="A39" s="606"/>
      <c r="B39" s="496"/>
      <c r="C39" s="497">
        <v>19.87</v>
      </c>
      <c r="D39" s="496">
        <v>20.079999999999998</v>
      </c>
      <c r="E39" s="497">
        <v>20.02</v>
      </c>
      <c r="F39" s="498">
        <v>19.559999999999999</v>
      </c>
    </row>
    <row r="40" spans="1:6" ht="15.75" x14ac:dyDescent="0.25">
      <c r="A40" s="162" t="s">
        <v>303</v>
      </c>
      <c r="B40" s="258">
        <f>IF(ISNUMBER(AVERAGE(B$37:B$39)*B$17*B$33*B$34*B$35),AVERAGE(B$37:B$39)*B$17*B$33*B$34*B$35,"")</f>
        <v>20.256949415593834</v>
      </c>
      <c r="C40" s="258">
        <f>IF(ISNUMBER(AVERAGE(C37:C39)*C17*C33*C34*C35),AVERAGE(C37:C39)*C17*C33*C34*C35,"")</f>
        <v>20.431558796650322</v>
      </c>
      <c r="D40" s="258">
        <f>IF(ISNUMBER(AVERAGE(D37:D39)*D17*D33*D34*D35),AVERAGE(D37:D39)*D17*D33*D34*D35,"")</f>
        <v>20.658589068907496</v>
      </c>
      <c r="E40" s="258">
        <f>IF(ISNUMBER(AVERAGE(E37:E39)*E17*E33*E34*E35),AVERAGE(E37:E39)*E17*E33*E34*E35,"")</f>
        <v>20.614594100472434</v>
      </c>
      <c r="F40" s="259">
        <f>IF(ISNUMBER(AVERAGE(F37:F39)*F17*F33*F34*F35),AVERAGE(F37:F39)*F17*F33*F34*F35,"")</f>
        <v>20.120905733779917</v>
      </c>
    </row>
    <row r="41" spans="1:6" ht="18.75" x14ac:dyDescent="0.35">
      <c r="A41" s="162" t="s">
        <v>304</v>
      </c>
      <c r="B41" s="258">
        <f>IF(ISNUMBER(B$40*B$36*B$28*B$27*B$13*10^-9*100),B$40*B$36*B$28*B$27*B$13*10^-9*100,"")</f>
        <v>100.53396735848115</v>
      </c>
      <c r="C41" s="258">
        <f>IF(ISNUMBER(C40*C36*C28*C27*C13*10^-9*100),C40*C36*C28*C27*C13*10^-9*100,"")</f>
        <v>100.45893248352171</v>
      </c>
      <c r="D41" s="258">
        <f>IF(ISNUMBER(D40*D36*D28*D27*D13*10^-9*100),D40*D36*D28*D27*D13*10^-9*100,"")</f>
        <v>100.47646427401644</v>
      </c>
      <c r="E41" s="258">
        <f>IF(ISNUMBER(E40*E36*E28*E27*E13*10^-9*100),E40*E36*E28*E27*E13*10^-9*100,"")</f>
        <v>99.454582843079933</v>
      </c>
      <c r="F41" s="259">
        <f>IF(ISNUMBER(F40*F36*F28*F27*F13*10^-9*100),F40*F36*F28*F27*F13*10^-9*100,"")</f>
        <v>96.619992197609704</v>
      </c>
    </row>
    <row r="42" spans="1:6" ht="18.75" x14ac:dyDescent="0.35">
      <c r="A42" s="239" t="s">
        <v>305</v>
      </c>
      <c r="B42" s="240">
        <v>100</v>
      </c>
      <c r="C42" s="240">
        <v>100</v>
      </c>
      <c r="D42" s="240">
        <v>99.8</v>
      </c>
      <c r="E42" s="240">
        <v>98.7</v>
      </c>
      <c r="F42" s="241">
        <v>95.6</v>
      </c>
    </row>
    <row r="43" spans="1:6" ht="24" thickBot="1" x14ac:dyDescent="0.45">
      <c r="A43" s="252" t="s">
        <v>306</v>
      </c>
      <c r="B43" s="212">
        <f>IF(ISNUMBER(B$41/B$42/B$22*100),B$41/B$42/B$22*100,"")</f>
        <v>1.0053396735848115</v>
      </c>
      <c r="C43" s="212">
        <f>IF(ISNUMBER(C41/C42/C22*100),C41/C42/C22*100,"")</f>
        <v>1.0045893248352171</v>
      </c>
      <c r="D43" s="212">
        <f>IF(ISNUMBER(D41/D42/D22*100),D41/D42/D22*100,"")</f>
        <v>1.0067781991384412</v>
      </c>
      <c r="E43" s="212">
        <f>IF(ISNUMBER(E41/E42/E22*100),E41/E42/E22*100,"")</f>
        <v>1.0076452162419445</v>
      </c>
      <c r="F43" s="213">
        <f>IF(ISNUMBER(F41/F42/F22*100),F41/F42/F22*100,"")</f>
        <v>1.0106693744519843</v>
      </c>
    </row>
    <row r="44" spans="1:6" ht="18.75" x14ac:dyDescent="0.35">
      <c r="A44" s="214" t="s">
        <v>285</v>
      </c>
      <c r="B44" s="215">
        <f>AVERAGE(19.61,19.62)</f>
        <v>19.615000000000002</v>
      </c>
      <c r="C44" s="215">
        <v>19.79</v>
      </c>
      <c r="D44" s="215">
        <v>19.95</v>
      </c>
      <c r="E44" s="215">
        <v>19.89</v>
      </c>
      <c r="F44" s="216">
        <f>AVERAGE(19.33,19.36)</f>
        <v>19.344999999999999</v>
      </c>
    </row>
    <row r="45" spans="1:6" ht="15.75" x14ac:dyDescent="0.25">
      <c r="A45" s="217" t="s">
        <v>286</v>
      </c>
      <c r="B45" s="218">
        <f>IF(ISNUMBER(AVERAGE(B$44)*B$17*B$33*B$34*B$35),AVERAGE(B$44)*B$17*B$33*B$34*B$35,"")</f>
        <v>20.159313180460327</v>
      </c>
      <c r="C45" s="218">
        <f>IF(ISNUMBER(AVERAGE(C$44)*C$17*C$33*C$34*C$35),AVERAGE(C$44)*C$17*C$33*C$34*C$35,"")</f>
        <v>20.342472677463174</v>
      </c>
      <c r="D45" s="218">
        <f>IF(ISNUMBER(AVERAGE(D$44)*D$17*D$33*D$34*D$35),AVERAGE(D$44)*D$17*D$33*D$34*D$35,"")</f>
        <v>20.518031128013831</v>
      </c>
      <c r="E45" s="218">
        <f>IF(ISNUMBER(AVERAGE(E$44)*E$17*E$33*E$34*E$35),AVERAGE(E$44)*E$17*E$33*E$34*E$35,"")</f>
        <v>20.467101996259402</v>
      </c>
      <c r="F45" s="198">
        <f>IF(ISNUMBER(AVERAGE(F$44)*F$17*F$33*F$34*F$35),AVERAGE(F$44)*F$17*F$33*F$34*F$35,"")</f>
        <v>19.906525132286355</v>
      </c>
    </row>
    <row r="46" spans="1:6" ht="18.75" x14ac:dyDescent="0.35">
      <c r="A46" s="217" t="s">
        <v>287</v>
      </c>
      <c r="B46" s="218">
        <f>IF(ISNUMBER(B$45*B$36*B$28*B$27*B$13*10^-9*100),B$45*B$36*B$28*B$27*B$13*10^-9*100,"")</f>
        <v>100.04940485726065</v>
      </c>
      <c r="C46" s="242">
        <f>IF(ISNUMBER(C$45*C$36*C$28*C$27*C$13*10^-9*100),C$45*C$36*C$28*C$27*C$13*10^-9*100,"")</f>
        <v>100.02090929979342</v>
      </c>
      <c r="D46" s="242">
        <f>IF(ISNUMBER(D$45*D$36*D$28*D$27*D$13*10^-9*100),D$45*D$36*D$28*D$27*D$13*10^-9*100,"")</f>
        <v>99.792837484233047</v>
      </c>
      <c r="E46" s="242">
        <f>IF(ISNUMBER(E$45*E$36*E$28*E$27*E$13*10^-9*100),E$45*E$36*E$28*E$27*E$13*10^-9*100,"")</f>
        <v>98.743010952522098</v>
      </c>
      <c r="F46" s="243">
        <f>IF(ISNUMBER(F$45*F$36*F$28*F$27*F$13*10^-9*100),F$45*F$36*F$28*F$27*F$13*10^-9*100,"")</f>
        <v>95.590542911494722</v>
      </c>
    </row>
    <row r="47" spans="1:6" ht="24" thickBot="1" x14ac:dyDescent="0.45">
      <c r="A47" s="219" t="s">
        <v>288</v>
      </c>
      <c r="B47" s="220">
        <f>IF(ISNUMBER(B$46/B$42/B$22*100),B$46/B$42/B$22*100,"")</f>
        <v>1.0004940485726066</v>
      </c>
      <c r="C47" s="220">
        <f>IF(ISNUMBER(C$46/C$42/C$22*100),C$46/C$42/C$22*100,"")</f>
        <v>1.0002090929979341</v>
      </c>
      <c r="D47" s="220">
        <f>IF(ISNUMBER(D$46/D$42/D$22*100),D$46/D$42/D$22*100,"")</f>
        <v>0.99992823130494046</v>
      </c>
      <c r="E47" s="220">
        <f>IF(ISNUMBER(E$46/E$42/E$22*100),E$46/E$42/E$22*100,"")</f>
        <v>1.0004357745949555</v>
      </c>
      <c r="F47" s="244">
        <f>IF(ISNUMBER(F$46/F$42/F$22*100),F$46/F$42/F$22*100,"")</f>
        <v>0.99990107648007043</v>
      </c>
    </row>
    <row r="48" spans="1:6" ht="20.25" x14ac:dyDescent="0.35">
      <c r="A48" s="245" t="s">
        <v>307</v>
      </c>
      <c r="B48" s="246"/>
      <c r="C48" s="246"/>
      <c r="D48" s="246"/>
      <c r="E48" s="246"/>
      <c r="F48" s="247"/>
    </row>
    <row r="49" spans="1:6" ht="23.25" thickBot="1" x14ac:dyDescent="0.4">
      <c r="A49" s="248" t="s">
        <v>308</v>
      </c>
      <c r="B49" s="225"/>
      <c r="C49" s="225"/>
      <c r="D49" s="225"/>
      <c r="E49" s="225"/>
      <c r="F49" s="200"/>
    </row>
  </sheetData>
  <mergeCells count="12">
    <mergeCell ref="A37:A39"/>
    <mergeCell ref="A29:F29"/>
    <mergeCell ref="A2:F2"/>
    <mergeCell ref="I2:N2"/>
    <mergeCell ref="A3:F3"/>
    <mergeCell ref="A9:F9"/>
    <mergeCell ref="A19:F19"/>
    <mergeCell ref="A23:F23"/>
    <mergeCell ref="I5:I8"/>
    <mergeCell ref="I10:I13"/>
    <mergeCell ref="I15:I17"/>
    <mergeCell ref="I20:I22"/>
  </mergeCells>
  <conditionalFormatting sqref="B32:F32">
    <cfRule type="containsBlanks" dxfId="16" priority="1">
      <formula>LEN(TRIM(B32))=0</formula>
    </cfRule>
  </conditionalFormatting>
  <conditionalFormatting sqref="C35:F35">
    <cfRule type="cellIs" dxfId="15" priority="2" operator="lessThan">
      <formula>1</formula>
    </cfRule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205"/>
  <sheetViews>
    <sheetView zoomScaleNormal="100" workbookViewId="0">
      <selection activeCell="M9" sqref="M9"/>
    </sheetView>
  </sheetViews>
  <sheetFormatPr defaultRowHeight="15" x14ac:dyDescent="0.25"/>
  <cols>
    <col min="3" max="3" width="10.28515625" bestFit="1" customWidth="1"/>
  </cols>
  <sheetData>
    <row r="1" spans="1:21" x14ac:dyDescent="0.25">
      <c r="A1" s="617" t="s">
        <v>397</v>
      </c>
      <c r="B1" s="617"/>
      <c r="C1" s="617"/>
      <c r="D1" s="617"/>
    </row>
    <row r="2" spans="1:21" x14ac:dyDescent="0.25">
      <c r="A2" s="617"/>
      <c r="B2" s="617"/>
      <c r="C2" s="617"/>
      <c r="D2" s="617"/>
    </row>
    <row r="3" spans="1:21" x14ac:dyDescent="0.25">
      <c r="B3" t="s">
        <v>389</v>
      </c>
      <c r="C3" s="441">
        <v>45717</v>
      </c>
    </row>
    <row r="4" spans="1:21" x14ac:dyDescent="0.25">
      <c r="B4" t="s">
        <v>390</v>
      </c>
      <c r="C4" t="s">
        <v>391</v>
      </c>
    </row>
    <row r="5" spans="1:21" x14ac:dyDescent="0.25">
      <c r="B5" t="s">
        <v>392</v>
      </c>
      <c r="C5" t="s">
        <v>401</v>
      </c>
    </row>
    <row r="6" spans="1:21" ht="15.75" thickBot="1" x14ac:dyDescent="0.3">
      <c r="B6" t="s">
        <v>400</v>
      </c>
      <c r="C6">
        <v>7.0000000000000001E-3</v>
      </c>
      <c r="F6" s="444"/>
      <c r="G6" s="444"/>
      <c r="H6" s="444"/>
      <c r="I6" s="444"/>
      <c r="J6" s="444"/>
      <c r="K6" s="444"/>
    </row>
    <row r="7" spans="1:21" ht="18.75" x14ac:dyDescent="0.3">
      <c r="B7" t="s">
        <v>402</v>
      </c>
      <c r="C7" s="474">
        <v>5040000000</v>
      </c>
      <c r="D7" t="s">
        <v>403</v>
      </c>
      <c r="F7" s="614" t="s">
        <v>416</v>
      </c>
      <c r="G7" s="615"/>
      <c r="H7" s="615"/>
      <c r="I7" s="616"/>
      <c r="J7" s="614" t="s">
        <v>415</v>
      </c>
      <c r="K7" s="615"/>
      <c r="L7" s="615"/>
      <c r="M7" s="615"/>
      <c r="N7" s="616"/>
    </row>
    <row r="8" spans="1:21" x14ac:dyDescent="0.25">
      <c r="B8" t="s">
        <v>404</v>
      </c>
      <c r="C8" s="441">
        <v>45197</v>
      </c>
      <c r="F8" s="447" t="s">
        <v>85</v>
      </c>
      <c r="G8" s="444" t="s">
        <v>405</v>
      </c>
      <c r="H8" s="444" t="s">
        <v>406</v>
      </c>
      <c r="I8" s="487">
        <v>2025</v>
      </c>
      <c r="J8" s="447" t="s">
        <v>85</v>
      </c>
      <c r="K8" s="444" t="s">
        <v>405</v>
      </c>
      <c r="L8" s="484" t="s">
        <v>406</v>
      </c>
      <c r="M8" s="484">
        <v>2025</v>
      </c>
      <c r="N8" s="485" t="s">
        <v>414</v>
      </c>
    </row>
    <row r="9" spans="1:21" ht="15.75" x14ac:dyDescent="0.25">
      <c r="B9" t="s">
        <v>394</v>
      </c>
      <c r="C9">
        <f>0.24/2</f>
        <v>0.12</v>
      </c>
      <c r="D9" t="s">
        <v>396</v>
      </c>
      <c r="F9" s="303" t="s">
        <v>28</v>
      </c>
      <c r="G9" s="445">
        <v>66.5</v>
      </c>
      <c r="H9" s="446">
        <v>66.290000000000006</v>
      </c>
      <c r="I9" s="488">
        <f>E33</f>
        <v>67.110655737704917</v>
      </c>
      <c r="J9" s="303" t="s">
        <v>107</v>
      </c>
      <c r="K9" s="446">
        <v>2.34</v>
      </c>
      <c r="L9" s="365">
        <v>2.35</v>
      </c>
      <c r="M9" s="491">
        <f>IF(N9&lt;=10,(1.029*N9)-0.06,(1.059*N9)-0.37)</f>
        <v>2.3509833443708605</v>
      </c>
      <c r="N9" s="479">
        <f>C$56+(0.5-E$56)*(C$57-C$56)/(E$57-E$56)</f>
        <v>2.3430353200883003</v>
      </c>
    </row>
    <row r="10" spans="1:21" ht="15.75" x14ac:dyDescent="0.25">
      <c r="B10" t="s">
        <v>393</v>
      </c>
      <c r="C10">
        <f>C9*0.6</f>
        <v>7.1999999999999995E-2</v>
      </c>
      <c r="D10" t="s">
        <v>396</v>
      </c>
      <c r="F10" s="303" t="s">
        <v>31</v>
      </c>
      <c r="G10" s="445">
        <v>63.2</v>
      </c>
      <c r="H10" s="446">
        <v>63.45</v>
      </c>
      <c r="I10" s="488">
        <f>M34</f>
        <v>64.093448450990351</v>
      </c>
      <c r="J10" s="303" t="s">
        <v>108</v>
      </c>
      <c r="K10" s="446">
        <v>3.58</v>
      </c>
      <c r="L10" s="365">
        <v>3.57</v>
      </c>
      <c r="M10" s="491">
        <f>IF(N10&lt;=10,(1.029*N10)-0.06,(1.059*N10)-0.37)</f>
        <v>3.6086174548192766</v>
      </c>
      <c r="N10" s="479">
        <f>G$56+(0.5-I$56)*(G$57-G$56)/(I$57-I$56)</f>
        <v>3.5652259036144578</v>
      </c>
      <c r="O10" s="476"/>
    </row>
    <row r="11" spans="1:21" ht="15.75" x14ac:dyDescent="0.25">
      <c r="B11" t="s">
        <v>395</v>
      </c>
      <c r="C11">
        <f>C9*0.5</f>
        <v>0.06</v>
      </c>
      <c r="D11" t="s">
        <v>396</v>
      </c>
      <c r="F11" s="303" t="s">
        <v>32</v>
      </c>
      <c r="G11" s="445">
        <v>73.3</v>
      </c>
      <c r="H11" s="446">
        <v>73.37</v>
      </c>
      <c r="I11" s="488">
        <f>I35</f>
        <v>73.93075356415477</v>
      </c>
      <c r="J11" s="303" t="s">
        <v>109</v>
      </c>
      <c r="K11" s="446">
        <v>5.03</v>
      </c>
      <c r="L11" s="365">
        <v>4.9800000000000004</v>
      </c>
      <c r="M11" s="491">
        <f>IF(N11&lt;=10,(1.029*N11)-0.06,(1.059*N11)-0.37)</f>
        <v>5.0768993617021279</v>
      </c>
      <c r="N11" s="479">
        <f>K$57+(0.5-M$57)*(K$58-K$57)/(M$58-M$57)</f>
        <v>4.9921276595744679</v>
      </c>
      <c r="O11" s="476"/>
    </row>
    <row r="12" spans="1:21" ht="15.75" x14ac:dyDescent="0.25">
      <c r="B12" t="s">
        <v>407</v>
      </c>
      <c r="C12" t="s">
        <v>408</v>
      </c>
      <c r="F12" s="303" t="s">
        <v>162</v>
      </c>
      <c r="G12" s="445">
        <v>71</v>
      </c>
      <c r="H12" s="446">
        <v>70.97</v>
      </c>
      <c r="I12" s="488">
        <f>Q34</f>
        <v>71.057884231536917</v>
      </c>
      <c r="J12" s="303" t="s">
        <v>152</v>
      </c>
      <c r="K12" s="446">
        <v>6.7</v>
      </c>
      <c r="L12" s="86">
        <v>6.61</v>
      </c>
      <c r="M12" s="491">
        <f>IF(N12&lt;=10,(1.029*N12)-0.06,(1.059*N12)-0.37)</f>
        <v>6.7799100000000001</v>
      </c>
      <c r="N12" s="479">
        <f>O$57+(0.5-Q$57)*(O$58-O$57)/(Q$58-Q$57)</f>
        <v>6.6471428571428577</v>
      </c>
      <c r="O12" s="476"/>
    </row>
    <row r="13" spans="1:21" ht="16.5" thickBot="1" x14ac:dyDescent="0.3">
      <c r="B13" s="442" t="s">
        <v>409</v>
      </c>
      <c r="C13" s="442" t="s">
        <v>410</v>
      </c>
      <c r="D13" s="442"/>
      <c r="F13" s="486" t="s">
        <v>33</v>
      </c>
      <c r="G13" s="477">
        <v>79.599999999999994</v>
      </c>
      <c r="H13" s="480">
        <v>79.58</v>
      </c>
      <c r="I13" s="489">
        <f>U34</f>
        <v>79.864253393665166</v>
      </c>
      <c r="J13" s="486" t="s">
        <v>153</v>
      </c>
      <c r="K13" s="480">
        <v>8.33</v>
      </c>
      <c r="L13" s="2">
        <v>8.25</v>
      </c>
      <c r="M13" s="495">
        <f>IF(N13&lt;=10,(1.029*N13)-0.06,(1.059*N13)-0.37)</f>
        <v>8.4136006249999991</v>
      </c>
      <c r="N13" s="494">
        <f>S$57+(0.5-U$57)*(S$58-S$57)/(U$58-U$57)</f>
        <v>8.2347916666666663</v>
      </c>
      <c r="O13" s="475"/>
    </row>
    <row r="14" spans="1:21" ht="18" customHeight="1" x14ac:dyDescent="0.25">
      <c r="B14" s="442" t="s">
        <v>411</v>
      </c>
      <c r="C14" s="442" t="s">
        <v>413</v>
      </c>
      <c r="D14" s="442"/>
      <c r="E14" s="442"/>
    </row>
    <row r="15" spans="1:21" ht="18" customHeight="1" x14ac:dyDescent="0.25">
      <c r="E15" s="442"/>
    </row>
    <row r="16" spans="1:21" ht="19.5" customHeight="1" x14ac:dyDescent="0.3">
      <c r="B16" s="613" t="s">
        <v>28</v>
      </c>
      <c r="C16" s="613"/>
      <c r="D16" s="613"/>
      <c r="E16" s="613"/>
      <c r="F16" s="613" t="s">
        <v>32</v>
      </c>
      <c r="G16" s="613"/>
      <c r="H16" s="613"/>
      <c r="I16" s="613"/>
      <c r="J16" s="613" t="s">
        <v>31</v>
      </c>
      <c r="K16" s="613"/>
      <c r="L16" s="613"/>
      <c r="M16" s="613"/>
      <c r="N16" s="613" t="s">
        <v>162</v>
      </c>
      <c r="O16" s="613"/>
      <c r="P16" s="613"/>
      <c r="Q16" s="613"/>
      <c r="R16" s="613" t="s">
        <v>33</v>
      </c>
      <c r="S16" s="613"/>
      <c r="T16" s="613"/>
      <c r="U16" s="613"/>
    </row>
    <row r="17" spans="2:21" ht="15" customHeight="1" x14ac:dyDescent="0.25">
      <c r="B17" s="443"/>
      <c r="C17" s="443"/>
      <c r="D17" s="444"/>
      <c r="E17" s="444"/>
      <c r="F17" s="443"/>
      <c r="G17" s="443"/>
      <c r="H17" s="444"/>
      <c r="I17" s="444"/>
      <c r="J17" s="443"/>
      <c r="K17" s="443"/>
      <c r="L17" s="444"/>
      <c r="M17" s="444"/>
      <c r="N17" s="443"/>
      <c r="O17" s="443"/>
      <c r="P17" s="444"/>
      <c r="Q17" s="444"/>
      <c r="R17" s="443"/>
      <c r="S17" s="443"/>
      <c r="T17" s="444"/>
      <c r="U17" s="444"/>
    </row>
    <row r="18" spans="2:21" ht="15" customHeight="1" x14ac:dyDescent="0.25">
      <c r="B18" s="443"/>
      <c r="C18" s="443"/>
      <c r="D18" s="444"/>
      <c r="E18" s="444"/>
      <c r="F18" s="443"/>
      <c r="G18" s="443"/>
      <c r="H18" s="444"/>
      <c r="I18" s="444"/>
      <c r="J18" s="443"/>
      <c r="K18" s="443"/>
      <c r="L18" s="444"/>
      <c r="M18" s="444"/>
      <c r="N18" s="443"/>
      <c r="O18" s="443"/>
      <c r="P18" s="444"/>
      <c r="Q18" s="444"/>
      <c r="R18" s="443"/>
      <c r="S18" s="443"/>
      <c r="T18" s="444"/>
      <c r="U18" s="444"/>
    </row>
    <row r="19" spans="2:21" ht="15" customHeight="1" x14ac:dyDescent="0.25">
      <c r="B19" s="443"/>
      <c r="C19" s="443"/>
      <c r="D19" s="444"/>
      <c r="E19" s="444"/>
      <c r="F19" s="443"/>
      <c r="G19" s="443"/>
      <c r="H19" s="444"/>
      <c r="I19" s="444"/>
      <c r="J19" s="443"/>
      <c r="K19" s="443"/>
      <c r="L19" s="444"/>
      <c r="M19" s="444"/>
      <c r="N19" s="443"/>
      <c r="O19" s="443"/>
      <c r="P19" s="444"/>
      <c r="Q19" s="444"/>
      <c r="R19" s="443"/>
      <c r="S19" s="443"/>
      <c r="T19" s="444"/>
      <c r="U19" s="444"/>
    </row>
    <row r="20" spans="2:21" ht="15" customHeight="1" x14ac:dyDescent="0.25">
      <c r="B20" s="443"/>
      <c r="C20" s="443"/>
      <c r="D20" s="444"/>
      <c r="E20" s="444"/>
      <c r="F20" s="443"/>
      <c r="G20" s="443"/>
      <c r="H20" s="444"/>
      <c r="I20" s="444"/>
      <c r="J20" s="443"/>
      <c r="K20" s="443"/>
      <c r="L20" s="444"/>
      <c r="M20" s="444"/>
      <c r="N20" s="443"/>
      <c r="O20" s="443"/>
      <c r="P20" s="444"/>
      <c r="Q20" s="444"/>
      <c r="R20" s="443"/>
      <c r="S20" s="443"/>
      <c r="T20" s="444"/>
      <c r="U20" s="444"/>
    </row>
    <row r="21" spans="2:21" ht="15" customHeight="1" x14ac:dyDescent="0.25">
      <c r="B21" s="443"/>
      <c r="C21" s="443"/>
      <c r="D21" s="444"/>
      <c r="E21" s="444"/>
      <c r="F21" s="443"/>
      <c r="G21" s="443"/>
      <c r="H21" s="444"/>
      <c r="I21" s="444"/>
      <c r="J21" s="443"/>
      <c r="K21" s="443"/>
      <c r="L21" s="444"/>
      <c r="M21" s="444"/>
      <c r="N21" s="443"/>
      <c r="O21" s="443"/>
      <c r="P21" s="444"/>
      <c r="Q21" s="444"/>
      <c r="R21" s="443"/>
      <c r="S21" s="443"/>
      <c r="T21" s="444"/>
      <c r="U21" s="444"/>
    </row>
    <row r="22" spans="2:21" ht="15" customHeight="1" x14ac:dyDescent="0.25">
      <c r="B22" s="443"/>
      <c r="C22" s="443"/>
      <c r="D22" s="444"/>
      <c r="E22" s="444"/>
      <c r="F22" s="443"/>
      <c r="G22" s="443"/>
      <c r="H22" s="444"/>
      <c r="I22" s="444"/>
      <c r="J22" s="443"/>
      <c r="K22" s="443"/>
      <c r="L22" s="444"/>
      <c r="M22" s="444"/>
      <c r="N22" s="443"/>
      <c r="O22" s="443"/>
      <c r="P22" s="444"/>
      <c r="Q22" s="444"/>
      <c r="R22" s="443"/>
      <c r="S22" s="443"/>
      <c r="T22" s="444"/>
      <c r="U22" s="444"/>
    </row>
    <row r="23" spans="2:21" ht="15" customHeight="1" x14ac:dyDescent="0.25">
      <c r="B23" s="443"/>
      <c r="C23" s="443"/>
      <c r="D23" s="444"/>
      <c r="E23" s="444"/>
      <c r="F23" s="443"/>
      <c r="G23" s="443"/>
      <c r="H23" s="444"/>
      <c r="I23" s="444"/>
      <c r="J23" s="443"/>
      <c r="K23" s="443"/>
      <c r="L23" s="444"/>
      <c r="M23" s="444"/>
      <c r="N23" s="443"/>
      <c r="O23" s="443"/>
      <c r="P23" s="444"/>
      <c r="Q23" s="444"/>
      <c r="R23" s="443"/>
      <c r="S23" s="443"/>
      <c r="T23" s="444"/>
      <c r="U23" s="444"/>
    </row>
    <row r="24" spans="2:21" ht="15" customHeight="1" x14ac:dyDescent="0.25">
      <c r="B24" s="443"/>
      <c r="C24" s="443"/>
      <c r="D24" s="444"/>
      <c r="E24" s="444"/>
      <c r="F24" s="443"/>
      <c r="G24" s="443"/>
      <c r="H24" s="444"/>
      <c r="I24" s="444"/>
      <c r="J24" s="443"/>
      <c r="K24" s="443"/>
      <c r="L24" s="444"/>
      <c r="M24" s="444"/>
      <c r="N24" s="443"/>
      <c r="O24" s="443"/>
      <c r="P24" s="444"/>
      <c r="Q24" s="444"/>
      <c r="R24" s="443"/>
      <c r="S24" s="443"/>
      <c r="T24" s="444"/>
      <c r="U24" s="444"/>
    </row>
    <row r="25" spans="2:21" ht="15" customHeight="1" x14ac:dyDescent="0.25">
      <c r="B25" s="443"/>
      <c r="C25" s="443"/>
      <c r="D25" s="444"/>
      <c r="E25" s="444"/>
      <c r="F25" s="443"/>
      <c r="G25" s="443"/>
      <c r="H25" s="444"/>
      <c r="I25" s="444"/>
      <c r="J25" s="443"/>
      <c r="K25" s="443"/>
      <c r="L25" s="444"/>
      <c r="M25" s="444"/>
      <c r="N25" s="443"/>
      <c r="O25" s="443"/>
      <c r="P25" s="444"/>
      <c r="Q25" s="444"/>
      <c r="R25" s="443"/>
      <c r="S25" s="443"/>
      <c r="T25" s="444"/>
      <c r="U25" s="444"/>
    </row>
    <row r="26" spans="2:21" x14ac:dyDescent="0.25">
      <c r="B26" s="365" t="s">
        <v>398</v>
      </c>
      <c r="C26" s="365" t="s">
        <v>399</v>
      </c>
      <c r="D26" s="365" t="s">
        <v>330</v>
      </c>
      <c r="E26" s="365" t="s">
        <v>412</v>
      </c>
      <c r="F26" s="365" t="s">
        <v>398</v>
      </c>
      <c r="G26" s="365" t="s">
        <v>399</v>
      </c>
      <c r="H26" s="365" t="s">
        <v>330</v>
      </c>
      <c r="I26" s="365" t="s">
        <v>412</v>
      </c>
      <c r="J26" s="365" t="s">
        <v>398</v>
      </c>
      <c r="K26" s="365" t="s">
        <v>399</v>
      </c>
      <c r="L26" s="365" t="s">
        <v>330</v>
      </c>
      <c r="M26" s="365" t="s">
        <v>412</v>
      </c>
      <c r="N26" s="365" t="s">
        <v>398</v>
      </c>
      <c r="O26" s="365" t="s">
        <v>399</v>
      </c>
      <c r="P26" s="365" t="s">
        <v>330</v>
      </c>
      <c r="Q26" s="365" t="s">
        <v>412</v>
      </c>
      <c r="R26" s="365" t="s">
        <v>398</v>
      </c>
      <c r="S26" s="365" t="s">
        <v>399</v>
      </c>
      <c r="T26" s="365" t="s">
        <v>330</v>
      </c>
      <c r="U26" s="365" t="s">
        <v>412</v>
      </c>
    </row>
    <row r="27" spans="2:21" s="475" customFormat="1" x14ac:dyDescent="0.25">
      <c r="B27" s="446">
        <v>1.5</v>
      </c>
      <c r="C27" s="446">
        <f t="shared" ref="C27:C33" si="0">B27-$C$10</f>
        <v>1.4279999999999999</v>
      </c>
      <c r="D27" s="446">
        <v>195.1</v>
      </c>
      <c r="E27" s="446">
        <f>100*D27/MAX(D$27:D$35)</f>
        <v>99.948770491803288</v>
      </c>
      <c r="F27" s="446">
        <v>2.2999999999999998</v>
      </c>
      <c r="G27" s="446">
        <f t="shared" ref="G27:G35" si="1">F27-$C$10</f>
        <v>2.2279999999999998</v>
      </c>
      <c r="H27" s="446">
        <v>196.3</v>
      </c>
      <c r="I27" s="446">
        <f>100*H27/MAX(H$27:H$35)</f>
        <v>99.949083503054993</v>
      </c>
      <c r="J27" s="446">
        <v>1.3</v>
      </c>
      <c r="K27" s="446">
        <f t="shared" ref="K27:K34" si="2">J27-$C$10</f>
        <v>1.228</v>
      </c>
      <c r="L27" s="446">
        <v>196.5</v>
      </c>
      <c r="M27" s="446">
        <f>100*L27/MAX(L$27:L$35)</f>
        <v>99.796851193499236</v>
      </c>
      <c r="N27" s="446">
        <v>2.1</v>
      </c>
      <c r="O27" s="446">
        <f t="shared" ref="O27:O34" si="3">N27-$C$10</f>
        <v>2.028</v>
      </c>
      <c r="P27" s="446">
        <v>200.1</v>
      </c>
      <c r="Q27" s="446">
        <f>100*P27/MAX(P$27:P$35)</f>
        <v>99.850299401197603</v>
      </c>
      <c r="R27" s="446">
        <v>3</v>
      </c>
      <c r="S27" s="446">
        <f t="shared" ref="S27:S34" si="4">R27-$C$10</f>
        <v>2.9279999999999999</v>
      </c>
      <c r="T27" s="483">
        <v>198.1</v>
      </c>
      <c r="U27" s="446">
        <f>100*T27/MAX(T$27:T$35)</f>
        <v>99.597787833081952</v>
      </c>
    </row>
    <row r="28" spans="2:21" s="475" customFormat="1" x14ac:dyDescent="0.25">
      <c r="B28" s="446">
        <v>1.7</v>
      </c>
      <c r="C28" s="446">
        <f t="shared" si="0"/>
        <v>1.6279999999999999</v>
      </c>
      <c r="D28" s="446">
        <v>194.8</v>
      </c>
      <c r="E28" s="446">
        <f t="shared" ref="E28:E33" si="5">100*D28/MAX(D$27:D$35)</f>
        <v>99.795081967213122</v>
      </c>
      <c r="F28" s="446">
        <v>2.4</v>
      </c>
      <c r="G28" s="446">
        <f t="shared" si="1"/>
        <v>2.3279999999999998</v>
      </c>
      <c r="H28" s="446">
        <v>196.4</v>
      </c>
      <c r="I28" s="446">
        <f t="shared" ref="I28:I35" si="6">100*H28/MAX(H$27:H$35)</f>
        <v>100</v>
      </c>
      <c r="J28" s="446">
        <v>1.2</v>
      </c>
      <c r="K28" s="446">
        <f t="shared" si="2"/>
        <v>1.1279999999999999</v>
      </c>
      <c r="L28" s="446">
        <v>196.2</v>
      </c>
      <c r="M28" s="446">
        <f t="shared" ref="M28:M35" si="7">100*L28/MAX(L$27:L$35)</f>
        <v>99.644489588623671</v>
      </c>
      <c r="N28" s="446">
        <v>2.2000000000000002</v>
      </c>
      <c r="O28" s="446">
        <f t="shared" si="3"/>
        <v>2.1280000000000001</v>
      </c>
      <c r="P28" s="446">
        <v>200.2</v>
      </c>
      <c r="Q28" s="446">
        <f t="shared" ref="Q28:Q34" si="8">100*P28/MAX(P$27:P$35)</f>
        <v>99.900199600798402</v>
      </c>
      <c r="R28" s="446">
        <v>3.1</v>
      </c>
      <c r="S28" s="446">
        <f t="shared" si="4"/>
        <v>3.028</v>
      </c>
      <c r="T28" s="483">
        <v>198.5</v>
      </c>
      <c r="U28" s="446">
        <f t="shared" ref="U28:U35" si="9">100*T28/MAX(T$27:T$35)</f>
        <v>99.798893916540976</v>
      </c>
    </row>
    <row r="29" spans="2:21" s="475" customFormat="1" x14ac:dyDescent="0.25">
      <c r="B29" s="446">
        <v>1.6</v>
      </c>
      <c r="C29" s="446">
        <f t="shared" si="0"/>
        <v>1.528</v>
      </c>
      <c r="D29" s="446">
        <v>195.1</v>
      </c>
      <c r="E29" s="446">
        <f t="shared" si="5"/>
        <v>99.948770491803288</v>
      </c>
      <c r="F29" s="446">
        <v>2.5</v>
      </c>
      <c r="G29" s="446">
        <f t="shared" si="1"/>
        <v>2.4279999999999999</v>
      </c>
      <c r="H29" s="446">
        <v>196.3</v>
      </c>
      <c r="I29" s="446">
        <f t="shared" si="6"/>
        <v>99.949083503054993</v>
      </c>
      <c r="J29" s="446">
        <v>1.4</v>
      </c>
      <c r="K29" s="446">
        <f t="shared" si="2"/>
        <v>1.3279999999999998</v>
      </c>
      <c r="L29" s="446">
        <v>196.9</v>
      </c>
      <c r="M29" s="446">
        <f t="shared" si="7"/>
        <v>100</v>
      </c>
      <c r="N29" s="446">
        <v>2.2999999999999998</v>
      </c>
      <c r="O29" s="446">
        <f t="shared" si="3"/>
        <v>2.2279999999999998</v>
      </c>
      <c r="P29" s="481">
        <v>200.4</v>
      </c>
      <c r="Q29" s="446">
        <f t="shared" si="8"/>
        <v>100</v>
      </c>
      <c r="R29" s="446">
        <v>3.2</v>
      </c>
      <c r="S29" s="446">
        <f t="shared" si="4"/>
        <v>3.1280000000000001</v>
      </c>
      <c r="T29" s="483">
        <v>198.4</v>
      </c>
      <c r="U29" s="446">
        <f t="shared" si="9"/>
        <v>99.74861739567622</v>
      </c>
    </row>
    <row r="30" spans="2:21" s="475" customFormat="1" x14ac:dyDescent="0.25">
      <c r="B30" s="446">
        <v>1.4</v>
      </c>
      <c r="C30" s="446">
        <f t="shared" si="0"/>
        <v>1.3279999999999998</v>
      </c>
      <c r="D30" s="446">
        <v>195.2</v>
      </c>
      <c r="E30" s="446">
        <f t="shared" si="5"/>
        <v>100</v>
      </c>
      <c r="F30" s="446">
        <v>2.6</v>
      </c>
      <c r="G30" s="446">
        <f t="shared" si="1"/>
        <v>2.528</v>
      </c>
      <c r="H30" s="446">
        <v>196.2</v>
      </c>
      <c r="I30" s="446">
        <f t="shared" si="6"/>
        <v>99.898167006109972</v>
      </c>
      <c r="J30" s="446">
        <v>1.5</v>
      </c>
      <c r="K30" s="446">
        <f t="shared" si="2"/>
        <v>1.4279999999999999</v>
      </c>
      <c r="L30" s="446">
        <v>196.4</v>
      </c>
      <c r="M30" s="446">
        <f t="shared" si="7"/>
        <v>99.746063991874038</v>
      </c>
      <c r="N30" s="446">
        <v>2.4</v>
      </c>
      <c r="O30" s="446">
        <f t="shared" si="3"/>
        <v>2.3279999999999998</v>
      </c>
      <c r="P30" s="481">
        <v>200.4</v>
      </c>
      <c r="Q30" s="446">
        <f t="shared" si="8"/>
        <v>100</v>
      </c>
      <c r="R30" s="446">
        <v>3.3</v>
      </c>
      <c r="S30" s="446">
        <f t="shared" si="4"/>
        <v>3.2279999999999998</v>
      </c>
      <c r="T30" s="483">
        <v>198.9</v>
      </c>
      <c r="U30" s="446">
        <f t="shared" si="9"/>
        <v>100</v>
      </c>
    </row>
    <row r="31" spans="2:21" s="475" customFormat="1" x14ac:dyDescent="0.25">
      <c r="B31" s="446">
        <v>1.3</v>
      </c>
      <c r="C31" s="446">
        <f t="shared" si="0"/>
        <v>1.228</v>
      </c>
      <c r="D31" s="446">
        <v>194.8</v>
      </c>
      <c r="E31" s="446">
        <f t="shared" si="5"/>
        <v>99.795081967213122</v>
      </c>
      <c r="F31" s="446">
        <v>2.7</v>
      </c>
      <c r="G31" s="446">
        <f t="shared" si="1"/>
        <v>2.6280000000000001</v>
      </c>
      <c r="H31" s="446">
        <v>195.8</v>
      </c>
      <c r="I31" s="446">
        <f t="shared" si="6"/>
        <v>99.69450101832993</v>
      </c>
      <c r="J31" s="446">
        <v>1.6</v>
      </c>
      <c r="K31" s="446">
        <f t="shared" si="2"/>
        <v>1.528</v>
      </c>
      <c r="L31" s="446">
        <v>196.5</v>
      </c>
      <c r="M31" s="446">
        <f t="shared" si="7"/>
        <v>99.796851193499236</v>
      </c>
      <c r="N31" s="446">
        <v>2.5</v>
      </c>
      <c r="O31" s="446">
        <f t="shared" si="3"/>
        <v>2.4279999999999999</v>
      </c>
      <c r="P31" s="446">
        <v>200</v>
      </c>
      <c r="Q31" s="446">
        <f t="shared" si="8"/>
        <v>99.800399201596804</v>
      </c>
      <c r="R31" s="446">
        <v>3.4</v>
      </c>
      <c r="S31" s="446">
        <f t="shared" si="4"/>
        <v>3.3279999999999998</v>
      </c>
      <c r="T31" s="483">
        <v>198.7</v>
      </c>
      <c r="U31" s="446">
        <f t="shared" si="9"/>
        <v>99.899446958270488</v>
      </c>
    </row>
    <row r="32" spans="2:21" s="475" customFormat="1" x14ac:dyDescent="0.25">
      <c r="B32" s="446">
        <v>5.07</v>
      </c>
      <c r="C32" s="446">
        <f t="shared" si="0"/>
        <v>4.9980000000000002</v>
      </c>
      <c r="D32" s="446">
        <v>168.4</v>
      </c>
      <c r="E32" s="446">
        <f t="shared" si="5"/>
        <v>86.270491803278688</v>
      </c>
      <c r="F32" s="446">
        <v>2.8</v>
      </c>
      <c r="G32" s="446">
        <f t="shared" si="1"/>
        <v>2.7279999999999998</v>
      </c>
      <c r="H32" s="446">
        <v>195.4</v>
      </c>
      <c r="I32" s="446">
        <f t="shared" si="6"/>
        <v>99.490835030549889</v>
      </c>
      <c r="J32" s="446">
        <v>1.7</v>
      </c>
      <c r="K32" s="446">
        <f t="shared" si="2"/>
        <v>1.6279999999999999</v>
      </c>
      <c r="L32" s="446">
        <v>196.1</v>
      </c>
      <c r="M32" s="446">
        <f t="shared" si="7"/>
        <v>99.593702386998473</v>
      </c>
      <c r="N32" s="446">
        <v>2.6</v>
      </c>
      <c r="O32" s="446">
        <f t="shared" si="3"/>
        <v>2.528</v>
      </c>
      <c r="P32" s="446">
        <v>199.5</v>
      </c>
      <c r="Q32" s="446">
        <f t="shared" si="8"/>
        <v>99.550898203592808</v>
      </c>
      <c r="R32" s="446">
        <v>3.5</v>
      </c>
      <c r="S32" s="446">
        <f t="shared" si="4"/>
        <v>3.4279999999999999</v>
      </c>
      <c r="T32" s="483">
        <v>198.6</v>
      </c>
      <c r="U32" s="446">
        <f t="shared" si="9"/>
        <v>99.849170437405732</v>
      </c>
    </row>
    <row r="33" spans="2:21" s="475" customFormat="1" x14ac:dyDescent="0.25">
      <c r="B33" s="446">
        <v>10.07</v>
      </c>
      <c r="C33" s="446">
        <f t="shared" si="0"/>
        <v>9.9980000000000011</v>
      </c>
      <c r="D33" s="446">
        <v>131</v>
      </c>
      <c r="E33" s="446">
        <f t="shared" si="5"/>
        <v>67.110655737704917</v>
      </c>
      <c r="F33" s="446">
        <v>2.2000000000000002</v>
      </c>
      <c r="G33" s="446">
        <f t="shared" si="1"/>
        <v>2.1280000000000001</v>
      </c>
      <c r="H33" s="446">
        <v>196.2</v>
      </c>
      <c r="I33" s="446">
        <f t="shared" si="6"/>
        <v>99.898167006109972</v>
      </c>
      <c r="J33" s="446">
        <v>5.07</v>
      </c>
      <c r="K33" s="446">
        <f t="shared" si="2"/>
        <v>4.9980000000000002</v>
      </c>
      <c r="L33" s="446">
        <v>167.3</v>
      </c>
      <c r="M33" s="446">
        <f t="shared" si="7"/>
        <v>84.966988318943621</v>
      </c>
      <c r="N33" s="446">
        <v>5.07</v>
      </c>
      <c r="O33" s="446">
        <f t="shared" si="3"/>
        <v>4.9980000000000002</v>
      </c>
      <c r="P33" s="446">
        <v>181.2</v>
      </c>
      <c r="Q33" s="446">
        <f t="shared" si="8"/>
        <v>90.419161676646709</v>
      </c>
      <c r="R33" s="446">
        <v>5.07</v>
      </c>
      <c r="S33" s="446">
        <f t="shared" si="4"/>
        <v>4.9980000000000002</v>
      </c>
      <c r="T33" s="483">
        <v>191.75</v>
      </c>
      <c r="U33" s="446">
        <f t="shared" si="9"/>
        <v>96.405228758169926</v>
      </c>
    </row>
    <row r="34" spans="2:21" s="475" customFormat="1" x14ac:dyDescent="0.25">
      <c r="B34" s="446"/>
      <c r="C34" s="446"/>
      <c r="D34" s="446"/>
      <c r="E34" s="446"/>
      <c r="F34" s="446">
        <v>5.07</v>
      </c>
      <c r="G34" s="446">
        <f t="shared" si="1"/>
        <v>4.9980000000000002</v>
      </c>
      <c r="H34" s="446">
        <v>180</v>
      </c>
      <c r="I34" s="446">
        <f t="shared" si="6"/>
        <v>91.649694501018331</v>
      </c>
      <c r="J34" s="446">
        <v>10.07</v>
      </c>
      <c r="K34" s="446">
        <f t="shared" si="2"/>
        <v>9.9980000000000011</v>
      </c>
      <c r="L34" s="446">
        <v>126.2</v>
      </c>
      <c r="M34" s="446">
        <f t="shared" si="7"/>
        <v>64.093448450990351</v>
      </c>
      <c r="N34" s="446">
        <v>10.07</v>
      </c>
      <c r="O34" s="446">
        <f t="shared" si="3"/>
        <v>9.9980000000000011</v>
      </c>
      <c r="P34" s="481">
        <f>AVERAGE(142.3,142.5)</f>
        <v>142.4</v>
      </c>
      <c r="Q34" s="446">
        <f t="shared" si="8"/>
        <v>71.057884231536917</v>
      </c>
      <c r="R34" s="446">
        <v>10.07</v>
      </c>
      <c r="S34" s="446">
        <f t="shared" si="4"/>
        <v>9.9980000000000011</v>
      </c>
      <c r="T34" s="483">
        <f>AVERAGE(158.9,158.8)</f>
        <v>158.85000000000002</v>
      </c>
      <c r="U34" s="446">
        <f t="shared" si="9"/>
        <v>79.864253393665166</v>
      </c>
    </row>
    <row r="35" spans="2:21" s="475" customFormat="1" x14ac:dyDescent="0.25">
      <c r="B35" s="446"/>
      <c r="C35" s="446"/>
      <c r="D35" s="446"/>
      <c r="E35" s="446"/>
      <c r="F35" s="446">
        <v>10.07</v>
      </c>
      <c r="G35" s="446">
        <f t="shared" si="1"/>
        <v>9.9980000000000011</v>
      </c>
      <c r="H35" s="446">
        <v>145.19999999999999</v>
      </c>
      <c r="I35" s="446">
        <f t="shared" si="6"/>
        <v>73.93075356415477</v>
      </c>
      <c r="J35" s="446"/>
      <c r="K35" s="446"/>
      <c r="L35" s="446"/>
      <c r="M35" s="446">
        <f t="shared" si="7"/>
        <v>0</v>
      </c>
      <c r="U35" s="446">
        <f t="shared" si="9"/>
        <v>0</v>
      </c>
    </row>
    <row r="36" spans="2:21" s="475" customFormat="1" x14ac:dyDescent="0.25">
      <c r="B36" s="446"/>
      <c r="C36" s="446"/>
      <c r="D36" s="446"/>
      <c r="E36" s="446"/>
      <c r="F36" s="446"/>
      <c r="G36" s="446"/>
      <c r="H36" s="446"/>
      <c r="I36" s="446"/>
      <c r="M36" s="446"/>
    </row>
    <row r="37" spans="2:21" s="475" customFormat="1" x14ac:dyDescent="0.25">
      <c r="B37" s="446"/>
      <c r="C37" s="446"/>
      <c r="D37" s="446"/>
      <c r="E37" s="446"/>
      <c r="F37" s="446"/>
      <c r="G37" s="446"/>
      <c r="H37" s="446"/>
      <c r="I37" s="446"/>
      <c r="J37" s="446"/>
      <c r="K37" s="446"/>
      <c r="L37" s="446"/>
      <c r="M37" s="446"/>
    </row>
    <row r="38" spans="2:21" x14ac:dyDescent="0.25">
      <c r="B38" s="445"/>
      <c r="C38" s="446"/>
      <c r="D38" s="446"/>
      <c r="E38" s="446"/>
      <c r="F38" s="445"/>
      <c r="G38" s="445"/>
      <c r="H38" s="478"/>
      <c r="I38" s="446"/>
      <c r="J38" s="445"/>
      <c r="K38" s="445"/>
      <c r="L38" s="446"/>
      <c r="M38" s="446"/>
    </row>
    <row r="39" spans="2:21" ht="18.75" x14ac:dyDescent="0.3">
      <c r="B39" s="613" t="s">
        <v>107</v>
      </c>
      <c r="C39" s="613"/>
      <c r="D39" s="613"/>
      <c r="E39" s="613"/>
      <c r="F39" s="613" t="s">
        <v>108</v>
      </c>
      <c r="G39" s="613"/>
      <c r="H39" s="613"/>
      <c r="I39" s="613"/>
      <c r="J39" s="613" t="s">
        <v>109</v>
      </c>
      <c r="K39" s="613"/>
      <c r="L39" s="613"/>
      <c r="M39" s="613"/>
      <c r="N39" s="613" t="s">
        <v>152</v>
      </c>
      <c r="O39" s="613"/>
      <c r="P39" s="613"/>
      <c r="Q39" s="613"/>
      <c r="R39" s="613" t="s">
        <v>153</v>
      </c>
      <c r="S39" s="613"/>
      <c r="T39" s="613"/>
      <c r="U39" s="613"/>
    </row>
    <row r="40" spans="2:21" x14ac:dyDescent="0.25">
      <c r="B40" s="443"/>
      <c r="C40" s="443"/>
      <c r="D40" s="444"/>
      <c r="E40" s="444"/>
      <c r="F40" s="443"/>
      <c r="G40" s="443"/>
      <c r="H40" s="444"/>
      <c r="I40" s="444"/>
      <c r="J40" s="443"/>
      <c r="K40" s="443"/>
      <c r="L40" s="444"/>
      <c r="M40" s="444"/>
      <c r="N40" s="443"/>
      <c r="O40" s="443"/>
      <c r="P40" s="444"/>
      <c r="Q40" s="444"/>
      <c r="R40" s="443"/>
      <c r="S40" s="443"/>
      <c r="T40" s="444"/>
      <c r="U40" s="444"/>
    </row>
    <row r="41" spans="2:21" x14ac:dyDescent="0.25">
      <c r="B41" s="443"/>
      <c r="C41" s="443"/>
      <c r="D41" s="444"/>
      <c r="E41" s="444"/>
      <c r="F41" s="443"/>
      <c r="G41" s="443"/>
      <c r="H41" s="444"/>
      <c r="I41" s="444"/>
      <c r="J41" s="443"/>
      <c r="K41" s="443"/>
      <c r="L41" s="444"/>
      <c r="M41" s="444"/>
      <c r="N41" s="443"/>
      <c r="O41" s="443"/>
      <c r="P41" s="444"/>
      <c r="Q41" s="444"/>
      <c r="R41" s="443"/>
      <c r="S41" s="443"/>
      <c r="T41" s="444"/>
      <c r="U41" s="444"/>
    </row>
    <row r="42" spans="2:21" x14ac:dyDescent="0.25">
      <c r="B42" s="443"/>
      <c r="C42" s="443"/>
      <c r="D42" s="444"/>
      <c r="E42" s="444"/>
      <c r="F42" s="443"/>
      <c r="G42" s="443"/>
      <c r="H42" s="444"/>
      <c r="I42" s="444"/>
      <c r="J42" s="443"/>
      <c r="K42" s="443"/>
      <c r="L42" s="444"/>
      <c r="M42" s="444"/>
      <c r="N42" s="443"/>
      <c r="O42" s="443"/>
      <c r="P42" s="444"/>
      <c r="Q42" s="444"/>
      <c r="R42" s="443"/>
      <c r="S42" s="443"/>
      <c r="T42" s="444"/>
      <c r="U42" s="444"/>
    </row>
    <row r="43" spans="2:21" x14ac:dyDescent="0.25">
      <c r="B43" s="443"/>
      <c r="C43" s="443"/>
      <c r="D43" s="444"/>
      <c r="E43" s="444"/>
      <c r="F43" s="443"/>
      <c r="G43" s="443"/>
      <c r="H43" s="444"/>
      <c r="I43" s="444"/>
      <c r="J43" s="443"/>
      <c r="K43" s="443"/>
      <c r="L43" s="444"/>
      <c r="M43" s="444"/>
      <c r="N43" s="443"/>
      <c r="O43" s="443"/>
      <c r="P43" s="444"/>
      <c r="Q43" s="444"/>
      <c r="R43" s="443"/>
      <c r="S43" s="443"/>
      <c r="T43" s="444"/>
      <c r="U43" s="444"/>
    </row>
    <row r="44" spans="2:21" x14ac:dyDescent="0.25">
      <c r="B44" s="443"/>
      <c r="C44" s="443"/>
      <c r="D44" s="444"/>
      <c r="E44" s="444"/>
      <c r="F44" s="443"/>
      <c r="G44" s="443"/>
      <c r="H44" s="444"/>
      <c r="I44" s="444"/>
      <c r="J44" s="443"/>
      <c r="K44" s="443"/>
      <c r="L44" s="444"/>
      <c r="M44" s="444"/>
      <c r="N44" s="443"/>
      <c r="O44" s="443"/>
      <c r="P44" s="444"/>
      <c r="Q44" s="444"/>
      <c r="R44" s="443"/>
      <c r="S44" s="443"/>
      <c r="T44" s="444"/>
      <c r="U44" s="444"/>
    </row>
    <row r="45" spans="2:21" x14ac:dyDescent="0.25">
      <c r="B45" s="443"/>
      <c r="C45" s="443"/>
      <c r="D45" s="444"/>
      <c r="E45" s="444"/>
      <c r="F45" s="443"/>
      <c r="G45" s="443"/>
      <c r="H45" s="444"/>
      <c r="I45" s="444"/>
      <c r="J45" s="443"/>
      <c r="K45" s="443"/>
      <c r="L45" s="444"/>
      <c r="M45" s="444"/>
      <c r="N45" s="443"/>
      <c r="O45" s="443"/>
      <c r="P45" s="444"/>
      <c r="Q45" s="444"/>
      <c r="R45" s="443"/>
      <c r="S45" s="443"/>
      <c r="T45" s="444"/>
      <c r="U45" s="444"/>
    </row>
    <row r="46" spans="2:21" x14ac:dyDescent="0.25">
      <c r="B46" s="443"/>
      <c r="C46" s="443"/>
      <c r="D46" s="444"/>
      <c r="E46" s="444"/>
      <c r="F46" s="443"/>
      <c r="G46" s="443"/>
      <c r="H46" s="444"/>
      <c r="I46" s="444"/>
      <c r="J46" s="443"/>
      <c r="K46" s="443"/>
      <c r="L46" s="444"/>
      <c r="M46" s="444"/>
      <c r="N46" s="443"/>
      <c r="O46" s="443"/>
      <c r="P46" s="444"/>
      <c r="Q46" s="444"/>
      <c r="R46" s="443"/>
      <c r="S46" s="443"/>
      <c r="T46" s="444"/>
      <c r="U46" s="444"/>
    </row>
    <row r="47" spans="2:21" x14ac:dyDescent="0.25">
      <c r="B47" s="443"/>
      <c r="C47" s="443"/>
      <c r="D47" s="444"/>
      <c r="E47" s="444"/>
      <c r="F47" s="443"/>
      <c r="G47" s="443"/>
      <c r="H47" s="444"/>
      <c r="I47" s="444"/>
      <c r="J47" s="443"/>
      <c r="K47" s="443"/>
      <c r="L47" s="444"/>
      <c r="M47" s="444"/>
      <c r="N47" s="443"/>
      <c r="O47" s="443"/>
      <c r="P47" s="444"/>
      <c r="Q47" s="444"/>
      <c r="R47" s="443"/>
      <c r="S47" s="443"/>
      <c r="T47" s="444"/>
      <c r="U47" s="444"/>
    </row>
    <row r="48" spans="2:21" x14ac:dyDescent="0.25">
      <c r="B48" s="443"/>
      <c r="C48" s="443"/>
      <c r="D48" s="444"/>
      <c r="E48" s="444"/>
      <c r="F48" s="443"/>
      <c r="G48" s="443"/>
      <c r="H48" s="444"/>
      <c r="I48" s="444"/>
      <c r="J48" s="443"/>
      <c r="K48" s="443"/>
      <c r="L48" s="444"/>
      <c r="M48" s="444"/>
      <c r="N48" s="443"/>
      <c r="O48" s="443"/>
      <c r="P48" s="444"/>
      <c r="Q48" s="444"/>
      <c r="R48" s="443"/>
      <c r="S48" s="443"/>
      <c r="T48" s="444"/>
      <c r="U48" s="444"/>
    </row>
    <row r="49" spans="2:21" x14ac:dyDescent="0.25">
      <c r="B49" s="365" t="s">
        <v>398</v>
      </c>
      <c r="C49" s="365" t="s">
        <v>399</v>
      </c>
      <c r="D49" s="365" t="s">
        <v>330</v>
      </c>
      <c r="E49" s="365" t="s">
        <v>237</v>
      </c>
      <c r="F49" s="365" t="s">
        <v>398</v>
      </c>
      <c r="G49" s="365" t="s">
        <v>399</v>
      </c>
      <c r="H49" s="365" t="s">
        <v>330</v>
      </c>
      <c r="I49" s="365" t="s">
        <v>237</v>
      </c>
      <c r="J49" s="365" t="s">
        <v>398</v>
      </c>
      <c r="K49" s="365" t="s">
        <v>399</v>
      </c>
      <c r="L49" s="365" t="s">
        <v>330</v>
      </c>
      <c r="M49" s="365" t="s">
        <v>237</v>
      </c>
      <c r="N49" s="365" t="s">
        <v>398</v>
      </c>
      <c r="O49" s="365" t="s">
        <v>399</v>
      </c>
      <c r="P49" s="365" t="s">
        <v>330</v>
      </c>
      <c r="Q49" s="365" t="s">
        <v>237</v>
      </c>
      <c r="R49" s="365" t="s">
        <v>398</v>
      </c>
      <c r="S49" s="365" t="s">
        <v>399</v>
      </c>
      <c r="T49" s="365" t="s">
        <v>330</v>
      </c>
      <c r="U49" s="365" t="s">
        <v>237</v>
      </c>
    </row>
    <row r="50" spans="2:21" s="475" customFormat="1" x14ac:dyDescent="0.25">
      <c r="B50" s="446">
        <v>1.1000000000000001</v>
      </c>
      <c r="C50" s="446">
        <f t="shared" ref="C50:C57" si="10">B50-$C$11</f>
        <v>1.04</v>
      </c>
      <c r="D50" s="446">
        <v>206.9</v>
      </c>
      <c r="E50" s="478">
        <f>D50/MAX(D$50:D$65)</f>
        <v>0.96999531176746367</v>
      </c>
      <c r="F50" s="446">
        <v>2</v>
      </c>
      <c r="G50" s="446">
        <f>F50-$C$11</f>
        <v>1.94</v>
      </c>
      <c r="H50" s="446">
        <v>210.9</v>
      </c>
      <c r="I50" s="478">
        <f>H50/MAX(H$50:H$65)</f>
        <v>0.99810695693327023</v>
      </c>
      <c r="J50" s="446">
        <v>2.5</v>
      </c>
      <c r="K50" s="446">
        <f>J50-$C$11</f>
        <v>2.44</v>
      </c>
      <c r="L50" s="446">
        <v>210.9</v>
      </c>
      <c r="M50" s="478">
        <f>L50/MAX(L$50:L$65)</f>
        <v>0.99387370405278053</v>
      </c>
      <c r="N50" s="446">
        <v>2.8</v>
      </c>
      <c r="O50" s="446">
        <f t="shared" ref="O50:O58" si="11">N50-$C$11</f>
        <v>2.7399999999999998</v>
      </c>
      <c r="P50" s="446">
        <v>215.3</v>
      </c>
      <c r="Q50" s="478">
        <f>P50/MAX(P$50:P$65)</f>
        <v>0.99814557255447389</v>
      </c>
      <c r="R50" s="446">
        <v>1.8</v>
      </c>
      <c r="S50" s="446">
        <f t="shared" ref="S50:S55" si="12">R50-$C$11</f>
        <v>1.74</v>
      </c>
      <c r="T50" s="446">
        <v>220.7</v>
      </c>
      <c r="U50" s="478">
        <f>T50/MAX(T$50:T$65)</f>
        <v>0.99819086386250566</v>
      </c>
    </row>
    <row r="51" spans="2:21" s="475" customFormat="1" x14ac:dyDescent="0.25">
      <c r="B51" s="446">
        <v>1.2</v>
      </c>
      <c r="C51" s="446">
        <f t="shared" si="10"/>
        <v>1.1399999999999999</v>
      </c>
      <c r="D51" s="446">
        <v>210.6</v>
      </c>
      <c r="E51" s="478">
        <f>D51/MAX(D$50:D$65)</f>
        <v>0.98734177215189867</v>
      </c>
      <c r="F51" s="446">
        <v>2.1</v>
      </c>
      <c r="G51" s="481">
        <f>F51-$C$11</f>
        <v>2.04</v>
      </c>
      <c r="H51" s="446">
        <v>211.3</v>
      </c>
      <c r="I51" s="478">
        <f>H51/MAX(H$50:H$65)</f>
        <v>1</v>
      </c>
      <c r="J51" s="446">
        <v>2.6</v>
      </c>
      <c r="K51" s="483">
        <f>J51-$C$11</f>
        <v>2.54</v>
      </c>
      <c r="L51" s="446">
        <v>211.7</v>
      </c>
      <c r="M51" s="478">
        <f>L51/MAX(L$50:L$65)</f>
        <v>0.99764373232799242</v>
      </c>
      <c r="N51" s="446">
        <v>3</v>
      </c>
      <c r="O51" s="483">
        <f t="shared" si="11"/>
        <v>2.94</v>
      </c>
      <c r="P51" s="446">
        <v>215</v>
      </c>
      <c r="Q51" s="478">
        <f>P51/MAX(P$50:P$65)</f>
        <v>0.99675475197032926</v>
      </c>
      <c r="R51" s="446">
        <v>2.2000000000000002</v>
      </c>
      <c r="S51" s="483">
        <f t="shared" si="12"/>
        <v>2.14</v>
      </c>
      <c r="T51" s="446">
        <v>220.5</v>
      </c>
      <c r="U51" s="478">
        <f>T51/MAX(T$50:T$65)</f>
        <v>0.99728629579375849</v>
      </c>
    </row>
    <row r="52" spans="2:21" s="475" customFormat="1" x14ac:dyDescent="0.25">
      <c r="B52" s="446">
        <v>1.3</v>
      </c>
      <c r="C52" s="446">
        <f t="shared" si="10"/>
        <v>1.24</v>
      </c>
      <c r="D52" s="446">
        <v>212.8</v>
      </c>
      <c r="E52" s="478">
        <f>D52/MAX(D$50:D$65)</f>
        <v>0.99765588373183312</v>
      </c>
      <c r="F52" s="446">
        <v>2.2000000000000002</v>
      </c>
      <c r="G52" s="483">
        <f>F52-$C$11</f>
        <v>2.14</v>
      </c>
      <c r="H52" s="446">
        <v>210.9</v>
      </c>
      <c r="I52" s="478">
        <f>H52/MAX(H$50:H$65)</f>
        <v>0.99810695693327023</v>
      </c>
      <c r="J52" s="446">
        <v>2.7</v>
      </c>
      <c r="K52" s="483">
        <f>J52-$C$11</f>
        <v>2.64</v>
      </c>
      <c r="L52" s="446">
        <v>212</v>
      </c>
      <c r="M52" s="478">
        <f>L52/MAX(L$50:L$65)</f>
        <v>0.99905749293119706</v>
      </c>
      <c r="N52" s="446">
        <v>3.2</v>
      </c>
      <c r="O52" s="483">
        <f t="shared" si="11"/>
        <v>3.14</v>
      </c>
      <c r="P52" s="446">
        <v>214.9</v>
      </c>
      <c r="Q52" s="478">
        <f>P52/MAX(P$50:P$65)</f>
        <v>0.99629114510894767</v>
      </c>
      <c r="R52" s="446">
        <v>2.6</v>
      </c>
      <c r="S52" s="483">
        <f t="shared" si="12"/>
        <v>2.54</v>
      </c>
      <c r="T52" s="446">
        <v>219.7</v>
      </c>
      <c r="U52" s="478">
        <f>T52/MAX(T$50:T$65)</f>
        <v>0.99366802351876982</v>
      </c>
    </row>
    <row r="53" spans="2:21" s="475" customFormat="1" x14ac:dyDescent="0.25">
      <c r="B53" s="446">
        <v>1.4</v>
      </c>
      <c r="C53" s="481">
        <f t="shared" si="10"/>
        <v>1.3399999999999999</v>
      </c>
      <c r="D53" s="446">
        <v>213.3</v>
      </c>
      <c r="E53" s="478">
        <f>D53/MAX(D$50:D$65)</f>
        <v>1</v>
      </c>
      <c r="F53" s="446">
        <v>2.2999999999999998</v>
      </c>
      <c r="G53" s="446">
        <f>F53-$C$11</f>
        <v>2.2399999999999998</v>
      </c>
      <c r="H53" s="446">
        <v>210.5</v>
      </c>
      <c r="I53" s="478">
        <f>H53/MAX(H$50:H$65)</f>
        <v>0.99621391386654046</v>
      </c>
      <c r="J53" s="446">
        <v>2.8</v>
      </c>
      <c r="K53" s="481">
        <f>J53-$C$11</f>
        <v>2.7399999999999998</v>
      </c>
      <c r="L53" s="446">
        <v>212.1</v>
      </c>
      <c r="M53" s="478">
        <f>L53/MAX(L$50:L$65)</f>
        <v>0.99952874646559853</v>
      </c>
      <c r="N53" s="446">
        <v>2.6</v>
      </c>
      <c r="O53" s="446">
        <f t="shared" si="11"/>
        <v>2.54</v>
      </c>
      <c r="P53" s="446">
        <v>215.6</v>
      </c>
      <c r="Q53" s="478">
        <f>P53/MAX(P$50:P$65)</f>
        <v>0.99953639313861853</v>
      </c>
      <c r="R53" s="446">
        <v>1.4</v>
      </c>
      <c r="S53" s="446">
        <f t="shared" si="12"/>
        <v>1.3399999999999999</v>
      </c>
      <c r="T53" s="446">
        <v>221.1</v>
      </c>
      <c r="U53" s="478">
        <f>T53/MAX(T$50:T$65)</f>
        <v>1</v>
      </c>
    </row>
    <row r="54" spans="2:21" s="475" customFormat="1" x14ac:dyDescent="0.25">
      <c r="B54" s="446">
        <v>1.5</v>
      </c>
      <c r="C54" s="446">
        <f t="shared" si="10"/>
        <v>1.44</v>
      </c>
      <c r="D54" s="446">
        <v>212.1</v>
      </c>
      <c r="E54" s="478">
        <f>D54/MAX(D$50:D$65)</f>
        <v>0.99437412095639932</v>
      </c>
      <c r="F54" s="446"/>
      <c r="G54" s="446"/>
      <c r="H54" s="446"/>
      <c r="I54" s="478"/>
      <c r="J54" s="446">
        <v>2.9</v>
      </c>
      <c r="K54" s="446">
        <f t="shared" ref="K54:K56" si="13">J54-$C$11</f>
        <v>2.84</v>
      </c>
      <c r="L54" s="446">
        <v>212.2</v>
      </c>
      <c r="M54" s="478">
        <f>L54/MAX(L$50:L$65)</f>
        <v>1</v>
      </c>
      <c r="N54" s="446">
        <v>2.4</v>
      </c>
      <c r="O54" s="446">
        <f t="shared" si="11"/>
        <v>2.34</v>
      </c>
      <c r="P54" s="446">
        <v>215.7</v>
      </c>
      <c r="Q54" s="478">
        <f>P54/MAX(P$50:P$65)</f>
        <v>1</v>
      </c>
      <c r="R54" s="446">
        <v>1.2</v>
      </c>
      <c r="S54" s="446">
        <f t="shared" si="12"/>
        <v>1.1399999999999999</v>
      </c>
      <c r="T54" s="446">
        <v>221.1</v>
      </c>
      <c r="U54" s="478">
        <f>T54/MAX(T$50:T$65)</f>
        <v>1</v>
      </c>
    </row>
    <row r="55" spans="2:21" s="475" customFormat="1" x14ac:dyDescent="0.25">
      <c r="B55" s="446">
        <v>2.2999999999999998</v>
      </c>
      <c r="C55" s="446">
        <f t="shared" si="10"/>
        <v>2.2399999999999998</v>
      </c>
      <c r="D55" s="446">
        <v>125.7</v>
      </c>
      <c r="E55" s="478">
        <f t="shared" ref="E55:E56" si="14">D55/MAX(D$50:D$65)</f>
        <v>0.58931082981715888</v>
      </c>
      <c r="F55" s="446">
        <v>3.5</v>
      </c>
      <c r="G55" s="446">
        <f>F55-$C$11</f>
        <v>3.44</v>
      </c>
      <c r="H55" s="483">
        <v>122.2</v>
      </c>
      <c r="I55" s="478">
        <f>H55/MAX(H$50:H$65)</f>
        <v>0.57832465688594414</v>
      </c>
      <c r="J55" s="446">
        <v>3</v>
      </c>
      <c r="K55" s="446">
        <f t="shared" si="13"/>
        <v>2.94</v>
      </c>
      <c r="L55" s="483">
        <v>211.9</v>
      </c>
      <c r="M55" s="478">
        <f t="shared" ref="M55:M56" si="15">L55/MAX(L$50:L$65)</f>
        <v>0.99858623939679558</v>
      </c>
      <c r="N55" s="446">
        <v>2.2000000000000002</v>
      </c>
      <c r="O55" s="446">
        <f t="shared" si="11"/>
        <v>2.14</v>
      </c>
      <c r="P55" s="483">
        <v>215.7</v>
      </c>
      <c r="Q55" s="478">
        <f t="shared" ref="Q55" si="16">P55/MAX(P$50:P$65)</f>
        <v>1</v>
      </c>
      <c r="R55" s="446">
        <v>2</v>
      </c>
      <c r="S55" s="446">
        <f t="shared" si="12"/>
        <v>1.94</v>
      </c>
      <c r="T55" s="483">
        <v>221.1</v>
      </c>
      <c r="U55" s="478">
        <f t="shared" ref="U55" si="17">T55/MAX(T$50:T$65)</f>
        <v>1</v>
      </c>
    </row>
    <row r="56" spans="2:21" s="475" customFormat="1" x14ac:dyDescent="0.25">
      <c r="B56" s="446">
        <v>2.4</v>
      </c>
      <c r="C56" s="482">
        <f t="shared" si="10"/>
        <v>2.34</v>
      </c>
      <c r="D56" s="446">
        <v>107.2</v>
      </c>
      <c r="E56" s="490">
        <f t="shared" si="14"/>
        <v>0.50257852789498358</v>
      </c>
      <c r="F56" s="446">
        <v>3.6</v>
      </c>
      <c r="G56" s="482">
        <f>F56-$C$11</f>
        <v>3.54</v>
      </c>
      <c r="H56" s="483">
        <v>109</v>
      </c>
      <c r="I56" s="490">
        <f>H56/MAX(H$50:H$65)</f>
        <v>0.51585423568386179</v>
      </c>
      <c r="J56" s="475">
        <v>4.9000000000000004</v>
      </c>
      <c r="K56" s="475">
        <f t="shared" si="13"/>
        <v>4.8400000000000007</v>
      </c>
      <c r="L56" s="475">
        <v>121.4</v>
      </c>
      <c r="M56" s="475">
        <f t="shared" si="15"/>
        <v>0.57210179076343082</v>
      </c>
      <c r="N56" s="446">
        <v>6.6</v>
      </c>
      <c r="O56" s="483">
        <f t="shared" si="11"/>
        <v>6.54</v>
      </c>
      <c r="P56" s="483">
        <v>115.4</v>
      </c>
      <c r="Q56" s="492">
        <f>P56/MAX(P$50:P$65)</f>
        <v>0.53500231803430698</v>
      </c>
      <c r="R56" s="446"/>
      <c r="S56" s="483"/>
      <c r="T56" s="483"/>
      <c r="U56" s="492">
        <f>T56/MAX(T$50:T$65)</f>
        <v>0</v>
      </c>
    </row>
    <row r="57" spans="2:21" s="475" customFormat="1" x14ac:dyDescent="0.25">
      <c r="B57" s="446">
        <v>2.5</v>
      </c>
      <c r="C57" s="482">
        <f t="shared" si="10"/>
        <v>2.44</v>
      </c>
      <c r="D57" s="446">
        <v>89.08</v>
      </c>
      <c r="E57" s="490">
        <f>D57/MAX(D$50:D$65)</f>
        <v>0.41762775433661509</v>
      </c>
      <c r="F57" s="446">
        <v>3.7</v>
      </c>
      <c r="G57" s="482">
        <f>F57-$C$11</f>
        <v>3.64</v>
      </c>
      <c r="H57" s="483">
        <v>95.72</v>
      </c>
      <c r="I57" s="490">
        <f>H57/MAX(H$50:H$65)</f>
        <v>0.45300520586843346</v>
      </c>
      <c r="J57" s="446">
        <v>5</v>
      </c>
      <c r="K57" s="446">
        <f>J57-$C$11</f>
        <v>4.9400000000000004</v>
      </c>
      <c r="L57" s="483">
        <v>111</v>
      </c>
      <c r="M57" s="490">
        <f>L57/MAX(L$50:L$65)</f>
        <v>0.52309142318567392</v>
      </c>
      <c r="N57" s="446">
        <v>6.7</v>
      </c>
      <c r="O57" s="482">
        <f t="shared" si="11"/>
        <v>6.6400000000000006</v>
      </c>
      <c r="P57" s="483">
        <v>108.4</v>
      </c>
      <c r="Q57" s="490">
        <f>P57/MAX(P$50:P$65)</f>
        <v>0.50254983773759854</v>
      </c>
      <c r="R57" s="446">
        <v>8.1999999999999993</v>
      </c>
      <c r="S57" s="482">
        <f>R57-$C$11</f>
        <v>8.1399999999999988</v>
      </c>
      <c r="T57" s="483">
        <v>115.1</v>
      </c>
      <c r="U57" s="490">
        <f>T57/MAX(T$50:T$65)</f>
        <v>0.52057892356399815</v>
      </c>
    </row>
    <row r="58" spans="2:21" s="475" customFormat="1" x14ac:dyDescent="0.25">
      <c r="B58" s="446"/>
      <c r="C58" s="446"/>
      <c r="D58" s="446"/>
      <c r="E58" s="478"/>
      <c r="F58" s="446"/>
      <c r="G58" s="446"/>
      <c r="H58" s="446"/>
      <c r="I58" s="478"/>
      <c r="J58" s="446">
        <v>5.0999999999999996</v>
      </c>
      <c r="K58" s="446">
        <f>J58-$C$11</f>
        <v>5.04</v>
      </c>
      <c r="L58" s="483">
        <v>101.6</v>
      </c>
      <c r="M58" s="490">
        <f>L58/MAX(L$50:L$65)</f>
        <v>0.47879359095193214</v>
      </c>
      <c r="N58" s="475">
        <v>6.8</v>
      </c>
      <c r="O58" s="493">
        <f t="shared" si="11"/>
        <v>6.74</v>
      </c>
      <c r="P58" s="475">
        <v>100.7</v>
      </c>
      <c r="Q58" s="490">
        <f>P58/MAX(P$50:P$65)</f>
        <v>0.46685210941121935</v>
      </c>
      <c r="R58" s="475">
        <v>8.3000000000000007</v>
      </c>
      <c r="S58" s="493">
        <f>R58-$C$11</f>
        <v>8.24</v>
      </c>
      <c r="T58" s="475">
        <v>110.3</v>
      </c>
      <c r="U58" s="490">
        <f>T58/MAX(T$50:T$65)</f>
        <v>0.49886928991406604</v>
      </c>
    </row>
    <row r="59" spans="2:21" s="475" customFormat="1" x14ac:dyDescent="0.25">
      <c r="B59" s="446"/>
      <c r="C59" s="446"/>
      <c r="D59" s="446"/>
      <c r="E59" s="478"/>
      <c r="F59" s="446"/>
      <c r="G59" s="446"/>
      <c r="H59" s="446"/>
      <c r="I59" s="478"/>
      <c r="J59" s="446"/>
      <c r="K59" s="446"/>
      <c r="L59" s="446"/>
      <c r="M59" s="446"/>
    </row>
    <row r="60" spans="2:21" x14ac:dyDescent="0.25">
      <c r="B60" s="365"/>
      <c r="C60" s="365"/>
      <c r="D60" s="365"/>
      <c r="E60" s="478"/>
      <c r="F60" s="365"/>
      <c r="G60" s="365"/>
      <c r="H60" s="365"/>
      <c r="I60" s="365"/>
      <c r="J60" s="365"/>
      <c r="K60" s="365"/>
      <c r="L60" s="365"/>
      <c r="M60" s="365"/>
    </row>
    <row r="61" spans="2:21" x14ac:dyDescent="0.25">
      <c r="B61" s="365"/>
      <c r="C61" s="365"/>
      <c r="D61" s="365"/>
      <c r="E61" s="365"/>
      <c r="F61" s="365"/>
      <c r="G61" s="365"/>
      <c r="H61" s="365"/>
      <c r="I61" s="365"/>
      <c r="J61" s="365"/>
      <c r="K61" s="365"/>
      <c r="L61" s="365"/>
      <c r="M61" s="365"/>
    </row>
    <row r="62" spans="2:21" x14ac:dyDescent="0.25">
      <c r="B62" s="365"/>
      <c r="C62" s="365"/>
      <c r="D62" s="365"/>
      <c r="E62" s="365"/>
      <c r="F62" s="365"/>
      <c r="G62" s="365"/>
      <c r="H62" s="365"/>
      <c r="I62" s="365"/>
      <c r="J62" s="365"/>
      <c r="K62" s="365"/>
      <c r="L62" s="365"/>
      <c r="M62" s="365"/>
    </row>
    <row r="63" spans="2:21" x14ac:dyDescent="0.25">
      <c r="B63" s="365"/>
      <c r="C63" s="365"/>
      <c r="D63" s="365"/>
      <c r="E63" s="365"/>
      <c r="F63" s="365"/>
      <c r="G63" s="365"/>
      <c r="H63" s="365"/>
      <c r="I63" s="365"/>
      <c r="J63" s="365"/>
      <c r="K63" s="365"/>
      <c r="L63" s="365"/>
      <c r="M63" s="365"/>
    </row>
    <row r="64" spans="2:21" x14ac:dyDescent="0.25">
      <c r="B64" s="365"/>
      <c r="C64" s="365"/>
      <c r="D64" s="365"/>
      <c r="E64" s="365"/>
      <c r="F64" s="365"/>
      <c r="G64" s="365"/>
      <c r="H64" s="365"/>
      <c r="I64" s="365"/>
      <c r="J64" s="365"/>
      <c r="K64" s="365"/>
      <c r="L64" s="365"/>
      <c r="M64" s="365"/>
    </row>
    <row r="65" spans="2:13" x14ac:dyDescent="0.25">
      <c r="B65" s="365"/>
      <c r="C65" s="365"/>
      <c r="D65" s="365"/>
      <c r="E65" s="365"/>
      <c r="F65" s="365"/>
      <c r="G65" s="365"/>
      <c r="H65" s="365"/>
      <c r="I65" s="365"/>
      <c r="J65" s="365"/>
      <c r="K65" s="365"/>
      <c r="L65" s="365"/>
      <c r="M65" s="365"/>
    </row>
    <row r="66" spans="2:13" x14ac:dyDescent="0.25">
      <c r="B66" s="365"/>
      <c r="C66" s="365"/>
      <c r="D66" s="365"/>
      <c r="E66" s="365"/>
      <c r="F66" s="365"/>
      <c r="G66" s="365"/>
      <c r="H66" s="365"/>
      <c r="I66" s="365"/>
      <c r="J66" s="365"/>
      <c r="K66" s="365"/>
      <c r="L66" s="365"/>
      <c r="M66" s="365"/>
    </row>
    <row r="67" spans="2:13" x14ac:dyDescent="0.25">
      <c r="B67" s="365"/>
      <c r="C67" s="365"/>
      <c r="D67" s="365"/>
      <c r="E67" s="365"/>
      <c r="F67" s="365"/>
      <c r="G67" s="365"/>
      <c r="H67" s="365"/>
      <c r="I67" s="365"/>
      <c r="J67" s="365"/>
      <c r="K67" s="365"/>
      <c r="L67" s="365"/>
      <c r="M67" s="365"/>
    </row>
    <row r="68" spans="2:13" x14ac:dyDescent="0.25">
      <c r="B68" s="365"/>
      <c r="C68" s="365"/>
      <c r="D68" s="365"/>
      <c r="E68" s="365"/>
      <c r="F68" s="365"/>
      <c r="G68" s="365"/>
      <c r="H68" s="365"/>
      <c r="I68" s="365"/>
      <c r="J68" s="365"/>
      <c r="K68" s="365"/>
      <c r="L68" s="365"/>
      <c r="M68" s="365"/>
    </row>
    <row r="69" spans="2:13" x14ac:dyDescent="0.25">
      <c r="B69" s="365"/>
      <c r="C69" s="365"/>
      <c r="D69" s="365"/>
      <c r="E69" s="365"/>
      <c r="F69" s="365"/>
      <c r="G69" s="365"/>
      <c r="H69" s="365"/>
      <c r="I69" s="365"/>
      <c r="J69" s="365"/>
      <c r="K69" s="365"/>
      <c r="L69" s="365"/>
      <c r="M69" s="365"/>
    </row>
    <row r="70" spans="2:13" x14ac:dyDescent="0.25">
      <c r="B70" s="365"/>
      <c r="C70" s="365"/>
      <c r="D70" s="365"/>
      <c r="E70" s="365"/>
      <c r="F70" s="365"/>
      <c r="G70" s="365"/>
      <c r="H70" s="365"/>
      <c r="I70" s="365"/>
      <c r="J70" s="365"/>
      <c r="K70" s="365"/>
      <c r="L70" s="365"/>
      <c r="M70" s="365"/>
    </row>
    <row r="71" spans="2:13" x14ac:dyDescent="0.25">
      <c r="B71" s="365"/>
      <c r="C71" s="365"/>
      <c r="D71" s="365"/>
      <c r="E71" s="365"/>
      <c r="F71" s="365"/>
      <c r="G71" s="365"/>
      <c r="H71" s="365"/>
      <c r="I71" s="365"/>
      <c r="J71" s="365"/>
      <c r="K71" s="365"/>
      <c r="L71" s="365"/>
      <c r="M71" s="365"/>
    </row>
    <row r="72" spans="2:13" x14ac:dyDescent="0.25">
      <c r="B72" s="365"/>
      <c r="C72" s="365"/>
      <c r="D72" s="365"/>
      <c r="E72" s="365"/>
      <c r="F72" s="365"/>
      <c r="G72" s="365"/>
      <c r="H72" s="365"/>
      <c r="I72" s="365"/>
      <c r="J72" s="365"/>
      <c r="K72" s="365"/>
      <c r="L72" s="365"/>
      <c r="M72" s="365"/>
    </row>
    <row r="73" spans="2:13" x14ac:dyDescent="0.25">
      <c r="B73" s="365"/>
      <c r="C73" s="365"/>
      <c r="D73" s="365"/>
      <c r="E73" s="365"/>
      <c r="F73" s="365"/>
      <c r="G73" s="365"/>
      <c r="H73" s="365"/>
      <c r="I73" s="365"/>
      <c r="J73" s="365"/>
      <c r="K73" s="365"/>
      <c r="L73" s="365"/>
      <c r="M73" s="365"/>
    </row>
    <row r="74" spans="2:13" x14ac:dyDescent="0.25">
      <c r="B74" s="365"/>
      <c r="C74" s="365"/>
      <c r="D74" s="365"/>
      <c r="E74" s="365"/>
      <c r="F74" s="365"/>
      <c r="G74" s="365"/>
      <c r="H74" s="365"/>
      <c r="I74" s="365"/>
      <c r="J74" s="365"/>
      <c r="K74" s="365"/>
      <c r="L74" s="365"/>
      <c r="M74" s="365"/>
    </row>
    <row r="75" spans="2:13" x14ac:dyDescent="0.25">
      <c r="B75" s="365"/>
      <c r="C75" s="365"/>
      <c r="D75" s="365"/>
      <c r="E75" s="365"/>
      <c r="F75" s="365"/>
      <c r="G75" s="365"/>
      <c r="H75" s="365"/>
      <c r="I75" s="365"/>
      <c r="J75" s="365"/>
      <c r="K75" s="365"/>
      <c r="L75" s="365"/>
      <c r="M75" s="365"/>
    </row>
    <row r="76" spans="2:13" x14ac:dyDescent="0.25">
      <c r="B76" s="365"/>
      <c r="C76" s="365"/>
      <c r="D76" s="365"/>
      <c r="E76" s="365"/>
      <c r="F76" s="365"/>
      <c r="G76" s="365"/>
      <c r="H76" s="365"/>
      <c r="I76" s="365"/>
      <c r="J76" s="365"/>
      <c r="K76" s="365"/>
      <c r="L76" s="365"/>
      <c r="M76" s="365"/>
    </row>
    <row r="77" spans="2:13" x14ac:dyDescent="0.25">
      <c r="B77" s="365"/>
      <c r="C77" s="365"/>
      <c r="D77" s="365"/>
      <c r="E77" s="365"/>
      <c r="F77" s="365"/>
      <c r="G77" s="365"/>
      <c r="H77" s="365"/>
      <c r="I77" s="365"/>
      <c r="J77" s="365"/>
      <c r="K77" s="365"/>
      <c r="L77" s="365"/>
      <c r="M77" s="365"/>
    </row>
    <row r="78" spans="2:13" x14ac:dyDescent="0.25">
      <c r="B78" s="365"/>
      <c r="C78" s="365"/>
      <c r="D78" s="365"/>
      <c r="E78" s="365"/>
      <c r="F78" s="365"/>
      <c r="G78" s="365"/>
      <c r="H78" s="365"/>
      <c r="I78" s="365"/>
      <c r="J78" s="365"/>
      <c r="K78" s="365"/>
      <c r="L78" s="365"/>
      <c r="M78" s="365"/>
    </row>
    <row r="79" spans="2:13" x14ac:dyDescent="0.25">
      <c r="B79" s="365"/>
      <c r="C79" s="365"/>
      <c r="D79" s="365"/>
      <c r="E79" s="365"/>
      <c r="F79" s="365"/>
      <c r="G79" s="365"/>
      <c r="H79" s="365"/>
      <c r="I79" s="365"/>
      <c r="J79" s="365"/>
      <c r="K79" s="365"/>
      <c r="L79" s="365"/>
      <c r="M79" s="365"/>
    </row>
    <row r="80" spans="2:13" x14ac:dyDescent="0.25">
      <c r="B80" s="365"/>
      <c r="C80" s="365"/>
      <c r="D80" s="365"/>
      <c r="E80" s="365"/>
      <c r="F80" s="365"/>
      <c r="G80" s="365"/>
      <c r="H80" s="365"/>
      <c r="I80" s="365"/>
      <c r="J80" s="365"/>
      <c r="K80" s="365"/>
      <c r="L80" s="365"/>
      <c r="M80" s="365"/>
    </row>
    <row r="81" spans="2:13" x14ac:dyDescent="0.25">
      <c r="B81" s="365"/>
      <c r="C81" s="365"/>
      <c r="D81" s="365"/>
      <c r="E81" s="365"/>
      <c r="F81" s="365"/>
      <c r="G81" s="365"/>
      <c r="H81" s="365"/>
      <c r="I81" s="365"/>
      <c r="J81" s="365"/>
      <c r="K81" s="365"/>
      <c r="L81" s="365"/>
      <c r="M81" s="365"/>
    </row>
    <row r="82" spans="2:13" x14ac:dyDescent="0.25">
      <c r="B82" s="365"/>
      <c r="C82" s="365"/>
      <c r="D82" s="365"/>
      <c r="E82" s="365"/>
      <c r="F82" s="365"/>
      <c r="G82" s="365"/>
      <c r="H82" s="365"/>
      <c r="I82" s="365"/>
      <c r="J82" s="365"/>
      <c r="K82" s="365"/>
      <c r="L82" s="365"/>
      <c r="M82" s="365"/>
    </row>
    <row r="83" spans="2:13" x14ac:dyDescent="0.25">
      <c r="B83" s="365"/>
      <c r="C83" s="365"/>
      <c r="D83" s="365"/>
      <c r="E83" s="365"/>
      <c r="F83" s="365"/>
      <c r="G83" s="365"/>
      <c r="H83" s="365"/>
      <c r="I83" s="365"/>
      <c r="J83" s="365"/>
      <c r="K83" s="365"/>
      <c r="L83" s="365"/>
      <c r="M83" s="365"/>
    </row>
    <row r="84" spans="2:13" x14ac:dyDescent="0.25">
      <c r="B84" s="365"/>
      <c r="C84" s="365"/>
      <c r="D84" s="365"/>
      <c r="E84" s="365"/>
      <c r="F84" s="365"/>
      <c r="G84" s="365"/>
      <c r="H84" s="365"/>
      <c r="I84" s="365"/>
      <c r="J84" s="365"/>
      <c r="K84" s="365"/>
      <c r="L84" s="365"/>
      <c r="M84" s="365"/>
    </row>
    <row r="85" spans="2:13" x14ac:dyDescent="0.25">
      <c r="B85" s="365"/>
      <c r="C85" s="365"/>
      <c r="D85" s="365"/>
      <c r="E85" s="365"/>
      <c r="F85" s="365"/>
      <c r="G85" s="365"/>
      <c r="H85" s="365"/>
      <c r="I85" s="365"/>
      <c r="J85" s="365"/>
      <c r="K85" s="365"/>
      <c r="L85" s="365"/>
      <c r="M85" s="365"/>
    </row>
    <row r="86" spans="2:13" x14ac:dyDescent="0.25">
      <c r="B86" s="365"/>
      <c r="C86" s="365"/>
      <c r="D86" s="365"/>
      <c r="E86" s="365"/>
      <c r="F86" s="365"/>
      <c r="G86" s="365"/>
      <c r="H86" s="365"/>
      <c r="I86" s="365"/>
      <c r="J86" s="365"/>
      <c r="K86" s="365"/>
      <c r="L86" s="365"/>
      <c r="M86" s="365"/>
    </row>
    <row r="87" spans="2:13" x14ac:dyDescent="0.25">
      <c r="B87" s="365"/>
      <c r="C87" s="365"/>
      <c r="D87" s="365"/>
      <c r="E87" s="365"/>
      <c r="F87" s="365"/>
      <c r="G87" s="365"/>
      <c r="H87" s="365"/>
      <c r="I87" s="365"/>
      <c r="J87" s="365"/>
      <c r="K87" s="365"/>
      <c r="L87" s="365"/>
      <c r="M87" s="365"/>
    </row>
    <row r="88" spans="2:13" x14ac:dyDescent="0.25">
      <c r="B88" s="365"/>
      <c r="C88" s="365"/>
      <c r="D88" s="365"/>
      <c r="E88" s="365"/>
      <c r="F88" s="365"/>
      <c r="G88" s="365"/>
      <c r="H88" s="365"/>
      <c r="I88" s="365"/>
      <c r="J88" s="365"/>
      <c r="K88" s="365"/>
      <c r="L88" s="365"/>
      <c r="M88" s="365"/>
    </row>
    <row r="89" spans="2:13" x14ac:dyDescent="0.25">
      <c r="B89" s="365"/>
      <c r="C89" s="365"/>
      <c r="D89" s="365"/>
      <c r="E89" s="365"/>
      <c r="F89" s="365"/>
      <c r="G89" s="365"/>
      <c r="H89" s="365"/>
      <c r="I89" s="365"/>
      <c r="J89" s="365"/>
      <c r="K89" s="365"/>
      <c r="L89" s="365"/>
      <c r="M89" s="365"/>
    </row>
    <row r="90" spans="2:13" x14ac:dyDescent="0.25">
      <c r="B90" s="365"/>
      <c r="C90" s="365"/>
      <c r="D90" s="365"/>
      <c r="E90" s="365"/>
      <c r="F90" s="365"/>
      <c r="G90" s="365"/>
      <c r="H90" s="365"/>
      <c r="I90" s="365"/>
      <c r="J90" s="365"/>
      <c r="K90" s="365"/>
      <c r="L90" s="365"/>
      <c r="M90" s="365"/>
    </row>
    <row r="91" spans="2:13" x14ac:dyDescent="0.25">
      <c r="B91" s="365"/>
      <c r="C91" s="365"/>
      <c r="D91" s="365"/>
      <c r="E91" s="365"/>
      <c r="F91" s="365"/>
      <c r="G91" s="365"/>
      <c r="H91" s="365"/>
      <c r="I91" s="365"/>
      <c r="J91" s="365"/>
      <c r="K91" s="365"/>
      <c r="L91" s="365"/>
      <c r="M91" s="365"/>
    </row>
    <row r="92" spans="2:13" x14ac:dyDescent="0.25">
      <c r="B92" s="365"/>
      <c r="C92" s="365"/>
      <c r="D92" s="365"/>
      <c r="E92" s="365"/>
      <c r="F92" s="365"/>
      <c r="G92" s="365"/>
      <c r="H92" s="365"/>
      <c r="I92" s="365"/>
      <c r="J92" s="365"/>
      <c r="K92" s="365"/>
      <c r="L92" s="365"/>
      <c r="M92" s="365"/>
    </row>
    <row r="93" spans="2:13" x14ac:dyDescent="0.25">
      <c r="B93" s="365"/>
      <c r="C93" s="365"/>
      <c r="D93" s="365"/>
      <c r="E93" s="365"/>
      <c r="F93" s="365"/>
      <c r="G93" s="365"/>
      <c r="H93" s="365"/>
      <c r="I93" s="365"/>
      <c r="J93" s="365"/>
      <c r="K93" s="365"/>
      <c r="L93" s="365"/>
      <c r="M93" s="365"/>
    </row>
    <row r="94" spans="2:13" x14ac:dyDescent="0.25">
      <c r="B94" s="365"/>
      <c r="C94" s="365"/>
      <c r="D94" s="365"/>
      <c r="E94" s="365"/>
      <c r="F94" s="365"/>
      <c r="G94" s="365"/>
      <c r="H94" s="365"/>
      <c r="I94" s="365"/>
      <c r="J94" s="365"/>
      <c r="K94" s="365"/>
      <c r="L94" s="365"/>
      <c r="M94" s="365"/>
    </row>
    <row r="95" spans="2:13" x14ac:dyDescent="0.25">
      <c r="B95" s="365"/>
      <c r="C95" s="365"/>
      <c r="D95" s="365"/>
      <c r="E95" s="365"/>
      <c r="F95" s="365"/>
      <c r="G95" s="365"/>
      <c r="H95" s="365"/>
      <c r="I95" s="365"/>
      <c r="J95" s="365"/>
      <c r="K95" s="365"/>
      <c r="L95" s="365"/>
      <c r="M95" s="365"/>
    </row>
    <row r="96" spans="2:13" x14ac:dyDescent="0.25">
      <c r="B96" s="365"/>
      <c r="C96" s="365"/>
      <c r="D96" s="365"/>
      <c r="E96" s="365"/>
      <c r="F96" s="365"/>
      <c r="G96" s="365"/>
      <c r="H96" s="365"/>
      <c r="I96" s="365"/>
      <c r="J96" s="365"/>
      <c r="K96" s="365"/>
      <c r="L96" s="365"/>
      <c r="M96" s="365"/>
    </row>
    <row r="97" spans="2:13" x14ac:dyDescent="0.25">
      <c r="B97" s="365"/>
      <c r="C97" s="365"/>
      <c r="D97" s="365"/>
      <c r="E97" s="365"/>
      <c r="F97" s="365"/>
      <c r="G97" s="365"/>
      <c r="H97" s="365"/>
      <c r="I97" s="365"/>
      <c r="J97" s="365"/>
      <c r="K97" s="365"/>
      <c r="L97" s="365"/>
      <c r="M97" s="365"/>
    </row>
    <row r="98" spans="2:13" x14ac:dyDescent="0.25">
      <c r="B98" s="365"/>
      <c r="C98" s="365"/>
      <c r="D98" s="365"/>
      <c r="E98" s="365"/>
      <c r="F98" s="365"/>
      <c r="G98" s="365"/>
      <c r="H98" s="365"/>
      <c r="I98" s="365"/>
      <c r="J98" s="365"/>
      <c r="K98" s="365"/>
      <c r="L98" s="365"/>
      <c r="M98" s="365"/>
    </row>
    <row r="99" spans="2:13" x14ac:dyDescent="0.25">
      <c r="B99" s="365"/>
      <c r="C99" s="365"/>
      <c r="D99" s="365"/>
      <c r="E99" s="365"/>
      <c r="F99" s="365"/>
      <c r="G99" s="365"/>
      <c r="H99" s="365"/>
      <c r="I99" s="365"/>
      <c r="J99" s="365"/>
      <c r="K99" s="365"/>
      <c r="L99" s="365"/>
      <c r="M99" s="365"/>
    </row>
    <row r="100" spans="2:13" x14ac:dyDescent="0.25">
      <c r="B100" s="365"/>
      <c r="C100" s="365"/>
      <c r="D100" s="365"/>
      <c r="E100" s="365"/>
      <c r="F100" s="365"/>
      <c r="G100" s="365"/>
      <c r="H100" s="365"/>
      <c r="I100" s="365"/>
      <c r="J100" s="365"/>
      <c r="K100" s="365"/>
      <c r="L100" s="365"/>
      <c r="M100" s="365"/>
    </row>
    <row r="101" spans="2:13" x14ac:dyDescent="0.25">
      <c r="B101" s="365"/>
      <c r="C101" s="365"/>
      <c r="D101" s="365"/>
      <c r="E101" s="365"/>
      <c r="F101" s="365"/>
      <c r="G101" s="365"/>
      <c r="H101" s="365"/>
      <c r="I101" s="365"/>
      <c r="J101" s="365"/>
      <c r="K101" s="365"/>
      <c r="L101" s="365"/>
      <c r="M101" s="365"/>
    </row>
    <row r="102" spans="2:13" x14ac:dyDescent="0.25">
      <c r="B102" s="365"/>
      <c r="C102" s="365"/>
      <c r="D102" s="365"/>
      <c r="E102" s="365"/>
      <c r="F102" s="365"/>
      <c r="G102" s="365"/>
      <c r="H102" s="365"/>
      <c r="I102" s="365"/>
      <c r="J102" s="365"/>
      <c r="K102" s="365"/>
      <c r="L102" s="365"/>
      <c r="M102" s="365"/>
    </row>
    <row r="103" spans="2:13" x14ac:dyDescent="0.25">
      <c r="B103" s="365"/>
      <c r="C103" s="365"/>
      <c r="D103" s="365"/>
      <c r="E103" s="365"/>
      <c r="F103" s="365"/>
      <c r="G103" s="365"/>
      <c r="H103" s="365"/>
      <c r="I103" s="365"/>
      <c r="J103" s="365"/>
      <c r="K103" s="365"/>
      <c r="L103" s="365"/>
      <c r="M103" s="365"/>
    </row>
    <row r="104" spans="2:13" x14ac:dyDescent="0.25">
      <c r="B104" s="365"/>
      <c r="C104" s="365"/>
      <c r="D104" s="365"/>
      <c r="E104" s="365"/>
      <c r="F104" s="365"/>
      <c r="G104" s="365"/>
      <c r="H104" s="365"/>
      <c r="I104" s="365"/>
      <c r="J104" s="365"/>
      <c r="K104" s="365"/>
      <c r="L104" s="365"/>
      <c r="M104" s="365"/>
    </row>
    <row r="105" spans="2:13" x14ac:dyDescent="0.25">
      <c r="B105" s="365"/>
      <c r="C105" s="365"/>
      <c r="D105" s="365"/>
      <c r="E105" s="365"/>
      <c r="F105" s="365"/>
      <c r="G105" s="365"/>
      <c r="H105" s="365"/>
      <c r="I105" s="365"/>
      <c r="J105" s="365"/>
      <c r="K105" s="365"/>
      <c r="L105" s="365"/>
      <c r="M105" s="365"/>
    </row>
    <row r="106" spans="2:13" x14ac:dyDescent="0.25">
      <c r="B106" s="365"/>
      <c r="C106" s="365"/>
      <c r="D106" s="365"/>
      <c r="E106" s="365"/>
      <c r="F106" s="365"/>
      <c r="G106" s="365"/>
      <c r="H106" s="365"/>
      <c r="I106" s="365"/>
      <c r="J106" s="365"/>
      <c r="K106" s="365"/>
      <c r="L106" s="365"/>
      <c r="M106" s="365"/>
    </row>
    <row r="107" spans="2:13" x14ac:dyDescent="0.25">
      <c r="B107" s="365"/>
      <c r="C107" s="365"/>
      <c r="D107" s="365"/>
      <c r="E107" s="365"/>
      <c r="F107" s="365"/>
      <c r="G107" s="365"/>
      <c r="H107" s="365"/>
      <c r="I107" s="365"/>
      <c r="J107" s="365"/>
      <c r="K107" s="365"/>
      <c r="L107" s="365"/>
      <c r="M107" s="365"/>
    </row>
    <row r="108" spans="2:13" x14ac:dyDescent="0.25">
      <c r="B108" s="365"/>
      <c r="C108" s="365"/>
      <c r="D108" s="365"/>
      <c r="E108" s="365"/>
      <c r="F108" s="365"/>
      <c r="G108" s="365"/>
      <c r="H108" s="365"/>
      <c r="I108" s="365"/>
      <c r="J108" s="365"/>
      <c r="K108" s="365"/>
      <c r="L108" s="365"/>
      <c r="M108" s="365"/>
    </row>
    <row r="109" spans="2:13" x14ac:dyDescent="0.25">
      <c r="B109" s="365"/>
      <c r="C109" s="365"/>
      <c r="D109" s="365"/>
      <c r="E109" s="365"/>
      <c r="F109" s="365"/>
      <c r="G109" s="365"/>
      <c r="H109" s="365"/>
      <c r="I109" s="365"/>
      <c r="J109" s="365"/>
      <c r="K109" s="365"/>
      <c r="L109" s="365"/>
      <c r="M109" s="365"/>
    </row>
    <row r="110" spans="2:13" x14ac:dyDescent="0.25">
      <c r="B110" s="365"/>
      <c r="C110" s="365"/>
      <c r="D110" s="365"/>
      <c r="E110" s="365"/>
      <c r="F110" s="365"/>
      <c r="G110" s="365"/>
      <c r="H110" s="365"/>
      <c r="I110" s="365"/>
      <c r="J110" s="365"/>
      <c r="K110" s="365"/>
      <c r="L110" s="365"/>
      <c r="M110" s="365"/>
    </row>
    <row r="111" spans="2:13" x14ac:dyDescent="0.25">
      <c r="B111" s="365"/>
      <c r="C111" s="365"/>
      <c r="D111" s="365"/>
      <c r="E111" s="365"/>
      <c r="F111" s="365"/>
      <c r="G111" s="365"/>
      <c r="H111" s="365"/>
      <c r="I111" s="365"/>
      <c r="J111" s="365"/>
      <c r="K111" s="365"/>
      <c r="L111" s="365"/>
      <c r="M111" s="365"/>
    </row>
    <row r="112" spans="2:13" x14ac:dyDescent="0.25">
      <c r="B112" s="365"/>
      <c r="C112" s="365"/>
      <c r="D112" s="365"/>
      <c r="E112" s="365"/>
      <c r="F112" s="365"/>
      <c r="G112" s="365"/>
      <c r="H112" s="365"/>
      <c r="I112" s="365"/>
      <c r="J112" s="365"/>
      <c r="K112" s="365"/>
      <c r="L112" s="365"/>
      <c r="M112" s="365"/>
    </row>
    <row r="113" spans="2:13" x14ac:dyDescent="0.25">
      <c r="B113" s="365"/>
      <c r="C113" s="365"/>
      <c r="D113" s="365"/>
      <c r="E113" s="365"/>
      <c r="F113" s="365"/>
      <c r="G113" s="365"/>
      <c r="H113" s="365"/>
      <c r="I113" s="365"/>
      <c r="J113" s="365"/>
      <c r="K113" s="365"/>
      <c r="L113" s="365"/>
      <c r="M113" s="365"/>
    </row>
    <row r="114" spans="2:13" x14ac:dyDescent="0.25">
      <c r="B114" s="365"/>
      <c r="C114" s="365"/>
      <c r="D114" s="365"/>
      <c r="E114" s="365"/>
      <c r="F114" s="365"/>
      <c r="G114" s="365"/>
      <c r="H114" s="365"/>
      <c r="I114" s="365"/>
      <c r="J114" s="365"/>
      <c r="K114" s="365"/>
      <c r="L114" s="365"/>
      <c r="M114" s="365"/>
    </row>
    <row r="115" spans="2:13" x14ac:dyDescent="0.25">
      <c r="B115" s="365"/>
      <c r="C115" s="365"/>
      <c r="D115" s="365"/>
      <c r="E115" s="365"/>
      <c r="F115" s="365"/>
      <c r="G115" s="365"/>
      <c r="H115" s="365"/>
      <c r="I115" s="365"/>
      <c r="J115" s="365"/>
      <c r="K115" s="365"/>
      <c r="L115" s="365"/>
      <c r="M115" s="365"/>
    </row>
    <row r="116" spans="2:13" x14ac:dyDescent="0.25">
      <c r="B116" s="365"/>
      <c r="C116" s="365"/>
      <c r="D116" s="365"/>
      <c r="E116" s="365"/>
      <c r="F116" s="365"/>
      <c r="G116" s="365"/>
      <c r="H116" s="365"/>
      <c r="I116" s="365"/>
      <c r="J116" s="365"/>
      <c r="K116" s="365"/>
      <c r="L116" s="365"/>
      <c r="M116" s="365"/>
    </row>
    <row r="117" spans="2:13" x14ac:dyDescent="0.25">
      <c r="B117" s="365"/>
      <c r="C117" s="365"/>
      <c r="D117" s="365"/>
      <c r="E117" s="365"/>
      <c r="F117" s="365"/>
      <c r="G117" s="365"/>
      <c r="H117" s="365"/>
      <c r="I117" s="365"/>
      <c r="J117" s="365"/>
      <c r="K117" s="365"/>
      <c r="L117" s="365"/>
      <c r="M117" s="365"/>
    </row>
    <row r="118" spans="2:13" x14ac:dyDescent="0.25">
      <c r="B118" s="365"/>
      <c r="C118" s="365"/>
      <c r="D118" s="365"/>
      <c r="E118" s="365"/>
      <c r="F118" s="365"/>
      <c r="G118" s="365"/>
      <c r="H118" s="365"/>
      <c r="I118" s="365"/>
      <c r="J118" s="365"/>
      <c r="K118" s="365"/>
      <c r="L118" s="365"/>
      <c r="M118" s="365"/>
    </row>
    <row r="119" spans="2:13" x14ac:dyDescent="0.25">
      <c r="B119" s="365"/>
      <c r="C119" s="365"/>
      <c r="D119" s="365"/>
      <c r="E119" s="365"/>
      <c r="F119" s="365"/>
      <c r="G119" s="365"/>
      <c r="H119" s="365"/>
      <c r="I119" s="365"/>
      <c r="J119" s="365"/>
      <c r="K119" s="365"/>
      <c r="L119" s="365"/>
      <c r="M119" s="365"/>
    </row>
    <row r="120" spans="2:13" x14ac:dyDescent="0.25">
      <c r="B120" s="365"/>
      <c r="C120" s="365"/>
      <c r="D120" s="365"/>
      <c r="E120" s="365"/>
      <c r="F120" s="365"/>
      <c r="G120" s="365"/>
      <c r="H120" s="365"/>
      <c r="I120" s="365"/>
      <c r="J120" s="365"/>
      <c r="K120" s="365"/>
      <c r="L120" s="365"/>
      <c r="M120" s="365"/>
    </row>
    <row r="121" spans="2:13" x14ac:dyDescent="0.25">
      <c r="B121" s="365"/>
      <c r="C121" s="365"/>
      <c r="D121" s="365"/>
      <c r="E121" s="365"/>
      <c r="F121" s="365"/>
      <c r="G121" s="365"/>
      <c r="H121" s="365"/>
      <c r="I121" s="365"/>
      <c r="J121" s="365"/>
      <c r="K121" s="365"/>
      <c r="L121" s="365"/>
      <c r="M121" s="365"/>
    </row>
    <row r="122" spans="2:13" x14ac:dyDescent="0.25">
      <c r="B122" s="365"/>
      <c r="C122" s="365"/>
      <c r="D122" s="365"/>
      <c r="E122" s="365"/>
      <c r="F122" s="365"/>
      <c r="G122" s="365"/>
      <c r="H122" s="365"/>
      <c r="I122" s="365"/>
      <c r="J122" s="365"/>
      <c r="K122" s="365"/>
      <c r="L122" s="365"/>
      <c r="M122" s="365"/>
    </row>
    <row r="123" spans="2:13" x14ac:dyDescent="0.25">
      <c r="B123" s="365"/>
      <c r="C123" s="365"/>
      <c r="D123" s="365"/>
      <c r="E123" s="365"/>
      <c r="F123" s="365"/>
      <c r="G123" s="365"/>
      <c r="H123" s="365"/>
      <c r="I123" s="365"/>
      <c r="J123" s="365"/>
      <c r="K123" s="365"/>
      <c r="L123" s="365"/>
      <c r="M123" s="365"/>
    </row>
    <row r="124" spans="2:13" x14ac:dyDescent="0.25">
      <c r="B124" s="365"/>
      <c r="C124" s="365"/>
      <c r="D124" s="365"/>
      <c r="E124" s="365"/>
      <c r="F124" s="365"/>
      <c r="G124" s="365"/>
      <c r="H124" s="365"/>
      <c r="I124" s="365"/>
      <c r="J124" s="365"/>
      <c r="K124" s="365"/>
      <c r="L124" s="365"/>
      <c r="M124" s="365"/>
    </row>
    <row r="125" spans="2:13" x14ac:dyDescent="0.25">
      <c r="B125" s="365"/>
      <c r="C125" s="365"/>
      <c r="D125" s="365"/>
      <c r="E125" s="365"/>
      <c r="F125" s="365"/>
      <c r="G125" s="365"/>
      <c r="H125" s="365"/>
      <c r="I125" s="365"/>
      <c r="J125" s="365"/>
      <c r="K125" s="365"/>
      <c r="L125" s="365"/>
      <c r="M125" s="365"/>
    </row>
    <row r="126" spans="2:13" x14ac:dyDescent="0.25">
      <c r="B126" s="365"/>
      <c r="C126" s="365"/>
      <c r="D126" s="365"/>
      <c r="E126" s="365"/>
      <c r="F126" s="365"/>
      <c r="G126" s="365"/>
      <c r="H126" s="365"/>
      <c r="I126" s="365"/>
      <c r="J126" s="365"/>
      <c r="K126" s="365"/>
      <c r="L126" s="365"/>
      <c r="M126" s="365"/>
    </row>
    <row r="127" spans="2:13" x14ac:dyDescent="0.25">
      <c r="B127" s="365"/>
      <c r="C127" s="365"/>
      <c r="D127" s="365"/>
      <c r="E127" s="365"/>
      <c r="F127" s="365"/>
      <c r="G127" s="365"/>
      <c r="H127" s="365"/>
      <c r="I127" s="365"/>
      <c r="J127" s="365"/>
      <c r="K127" s="365"/>
      <c r="L127" s="365"/>
      <c r="M127" s="365"/>
    </row>
    <row r="128" spans="2:13" x14ac:dyDescent="0.25">
      <c r="B128" s="365"/>
      <c r="C128" s="365"/>
      <c r="D128" s="365"/>
      <c r="E128" s="365"/>
      <c r="F128" s="365"/>
      <c r="G128" s="365"/>
      <c r="H128" s="365"/>
      <c r="I128" s="365"/>
      <c r="J128" s="365"/>
      <c r="K128" s="365"/>
      <c r="L128" s="365"/>
      <c r="M128" s="365"/>
    </row>
    <row r="129" spans="2:13" x14ac:dyDescent="0.25">
      <c r="B129" s="365"/>
      <c r="C129" s="365"/>
      <c r="D129" s="365"/>
      <c r="E129" s="365"/>
      <c r="F129" s="365"/>
      <c r="G129" s="365"/>
      <c r="H129" s="365"/>
      <c r="I129" s="365"/>
      <c r="J129" s="365"/>
      <c r="K129" s="365"/>
      <c r="L129" s="365"/>
      <c r="M129" s="365"/>
    </row>
    <row r="130" spans="2:13" x14ac:dyDescent="0.25">
      <c r="B130" s="365"/>
      <c r="C130" s="365"/>
      <c r="D130" s="365"/>
      <c r="E130" s="365"/>
      <c r="F130" s="365"/>
      <c r="G130" s="365"/>
      <c r="H130" s="365"/>
      <c r="I130" s="365"/>
      <c r="J130" s="365"/>
      <c r="K130" s="365"/>
      <c r="L130" s="365"/>
      <c r="M130" s="365"/>
    </row>
    <row r="131" spans="2:13" x14ac:dyDescent="0.25">
      <c r="B131" s="365"/>
      <c r="C131" s="365"/>
      <c r="D131" s="365"/>
      <c r="E131" s="365"/>
      <c r="F131" s="365"/>
      <c r="G131" s="365"/>
      <c r="H131" s="365"/>
      <c r="I131" s="365"/>
      <c r="J131" s="365"/>
      <c r="K131" s="365"/>
      <c r="L131" s="365"/>
      <c r="M131" s="365"/>
    </row>
    <row r="132" spans="2:13" x14ac:dyDescent="0.25">
      <c r="B132" s="365"/>
      <c r="C132" s="365"/>
      <c r="D132" s="365"/>
      <c r="E132" s="365"/>
      <c r="F132" s="365"/>
      <c r="G132" s="365"/>
      <c r="H132" s="365"/>
      <c r="I132" s="365"/>
      <c r="J132" s="365"/>
      <c r="K132" s="365"/>
      <c r="L132" s="365"/>
      <c r="M132" s="365"/>
    </row>
    <row r="133" spans="2:13" x14ac:dyDescent="0.25">
      <c r="B133" s="365"/>
      <c r="C133" s="365"/>
      <c r="D133" s="365"/>
      <c r="E133" s="365"/>
      <c r="F133" s="365"/>
      <c r="G133" s="365"/>
      <c r="H133" s="365"/>
      <c r="I133" s="365"/>
      <c r="J133" s="365"/>
      <c r="K133" s="365"/>
      <c r="L133" s="365"/>
      <c r="M133" s="365"/>
    </row>
    <row r="134" spans="2:13" x14ac:dyDescent="0.25">
      <c r="B134" s="365"/>
      <c r="C134" s="365"/>
      <c r="D134" s="365"/>
      <c r="E134" s="365"/>
      <c r="F134" s="365"/>
      <c r="G134" s="365"/>
      <c r="H134" s="365"/>
      <c r="I134" s="365"/>
      <c r="J134" s="365"/>
      <c r="K134" s="365"/>
      <c r="L134" s="365"/>
      <c r="M134" s="365"/>
    </row>
    <row r="135" spans="2:13" x14ac:dyDescent="0.25">
      <c r="B135" s="365"/>
      <c r="C135" s="365"/>
      <c r="D135" s="365"/>
      <c r="E135" s="365"/>
      <c r="F135" s="365"/>
      <c r="G135" s="365"/>
      <c r="H135" s="365"/>
      <c r="I135" s="365"/>
      <c r="J135" s="365"/>
      <c r="K135" s="365"/>
      <c r="L135" s="365"/>
      <c r="M135" s="365"/>
    </row>
    <row r="136" spans="2:13" x14ac:dyDescent="0.25">
      <c r="B136" s="365"/>
      <c r="C136" s="365"/>
      <c r="D136" s="365"/>
      <c r="E136" s="365"/>
      <c r="F136" s="365"/>
      <c r="G136" s="365"/>
      <c r="H136" s="365"/>
      <c r="I136" s="365"/>
      <c r="J136" s="365"/>
      <c r="K136" s="365"/>
      <c r="L136" s="365"/>
      <c r="M136" s="365"/>
    </row>
    <row r="137" spans="2:13" x14ac:dyDescent="0.25">
      <c r="B137" s="365"/>
      <c r="C137" s="365"/>
      <c r="D137" s="365"/>
      <c r="E137" s="365"/>
      <c r="F137" s="365"/>
      <c r="G137" s="365"/>
      <c r="H137" s="365"/>
      <c r="I137" s="365"/>
      <c r="J137" s="365"/>
      <c r="K137" s="365"/>
      <c r="L137" s="365"/>
      <c r="M137" s="365"/>
    </row>
    <row r="138" spans="2:13" x14ac:dyDescent="0.25">
      <c r="B138" s="365"/>
      <c r="C138" s="365"/>
      <c r="D138" s="365"/>
      <c r="E138" s="365"/>
      <c r="F138" s="365"/>
      <c r="G138" s="365"/>
      <c r="H138" s="365"/>
      <c r="I138" s="365"/>
      <c r="J138" s="365"/>
      <c r="K138" s="365"/>
      <c r="L138" s="365"/>
      <c r="M138" s="365"/>
    </row>
    <row r="139" spans="2:13" x14ac:dyDescent="0.25">
      <c r="B139" s="365"/>
      <c r="C139" s="365"/>
      <c r="D139" s="365"/>
      <c r="E139" s="365"/>
      <c r="F139" s="365"/>
      <c r="G139" s="365"/>
      <c r="H139" s="365"/>
      <c r="I139" s="365"/>
      <c r="J139" s="365"/>
      <c r="K139" s="365"/>
      <c r="L139" s="365"/>
      <c r="M139" s="365"/>
    </row>
    <row r="140" spans="2:13" x14ac:dyDescent="0.25">
      <c r="B140" s="365"/>
      <c r="C140" s="365"/>
      <c r="D140" s="365"/>
      <c r="E140" s="365"/>
      <c r="F140" s="365"/>
      <c r="G140" s="365"/>
      <c r="H140" s="365"/>
      <c r="I140" s="365"/>
      <c r="J140" s="365"/>
      <c r="K140" s="365"/>
      <c r="L140" s="365"/>
      <c r="M140" s="365"/>
    </row>
    <row r="141" spans="2:13" x14ac:dyDescent="0.25">
      <c r="B141" s="365"/>
      <c r="C141" s="365"/>
      <c r="D141" s="365"/>
      <c r="E141" s="365"/>
      <c r="F141" s="365"/>
      <c r="G141" s="365"/>
      <c r="H141" s="365"/>
      <c r="I141" s="365"/>
      <c r="J141" s="365"/>
      <c r="K141" s="365"/>
      <c r="L141" s="365"/>
      <c r="M141" s="365"/>
    </row>
    <row r="142" spans="2:13" x14ac:dyDescent="0.25">
      <c r="B142" s="365"/>
      <c r="C142" s="365"/>
      <c r="D142" s="365"/>
      <c r="E142" s="365"/>
      <c r="F142" s="365"/>
      <c r="G142" s="365"/>
      <c r="H142" s="365"/>
      <c r="I142" s="365"/>
      <c r="J142" s="365"/>
      <c r="K142" s="365"/>
      <c r="L142" s="365"/>
      <c r="M142" s="365"/>
    </row>
    <row r="143" spans="2:13" x14ac:dyDescent="0.25">
      <c r="B143" s="365"/>
      <c r="C143" s="365"/>
      <c r="D143" s="365"/>
      <c r="E143" s="365"/>
      <c r="F143" s="365"/>
      <c r="G143" s="365"/>
      <c r="H143" s="365"/>
      <c r="I143" s="365"/>
      <c r="J143" s="365"/>
      <c r="K143" s="365"/>
      <c r="L143" s="365"/>
      <c r="M143" s="365"/>
    </row>
    <row r="144" spans="2:13" x14ac:dyDescent="0.25">
      <c r="B144" s="365"/>
      <c r="C144" s="365"/>
      <c r="D144" s="365"/>
      <c r="E144" s="365"/>
      <c r="F144" s="365"/>
      <c r="G144" s="365"/>
      <c r="H144" s="365"/>
      <c r="I144" s="365"/>
      <c r="J144" s="365"/>
      <c r="K144" s="365"/>
      <c r="L144" s="365"/>
      <c r="M144" s="365"/>
    </row>
    <row r="145" spans="2:13" x14ac:dyDescent="0.25">
      <c r="B145" s="365"/>
      <c r="C145" s="365"/>
      <c r="D145" s="365"/>
      <c r="E145" s="365"/>
      <c r="F145" s="365"/>
      <c r="G145" s="365"/>
      <c r="H145" s="365"/>
      <c r="I145" s="365"/>
      <c r="J145" s="365"/>
      <c r="K145" s="365"/>
      <c r="L145" s="365"/>
      <c r="M145" s="365"/>
    </row>
    <row r="146" spans="2:13" x14ac:dyDescent="0.25">
      <c r="B146" s="365"/>
      <c r="C146" s="365"/>
      <c r="D146" s="365"/>
      <c r="E146" s="365"/>
      <c r="F146" s="365"/>
      <c r="G146" s="365"/>
      <c r="H146" s="365"/>
      <c r="I146" s="365"/>
      <c r="J146" s="365"/>
      <c r="K146" s="365"/>
      <c r="L146" s="365"/>
      <c r="M146" s="365"/>
    </row>
    <row r="147" spans="2:13" x14ac:dyDescent="0.25">
      <c r="B147" s="365"/>
      <c r="C147" s="365"/>
      <c r="D147" s="365"/>
      <c r="E147" s="365"/>
      <c r="F147" s="365"/>
      <c r="G147" s="365"/>
      <c r="H147" s="365"/>
      <c r="I147" s="365"/>
      <c r="J147" s="365"/>
      <c r="K147" s="365"/>
      <c r="L147" s="365"/>
      <c r="M147" s="365"/>
    </row>
    <row r="148" spans="2:13" x14ac:dyDescent="0.25">
      <c r="B148" s="365"/>
      <c r="C148" s="365"/>
      <c r="D148" s="365"/>
      <c r="E148" s="365"/>
      <c r="F148" s="365"/>
      <c r="G148" s="365"/>
      <c r="H148" s="365"/>
      <c r="I148" s="365"/>
      <c r="J148" s="365"/>
      <c r="K148" s="365"/>
      <c r="L148" s="365"/>
      <c r="M148" s="365"/>
    </row>
    <row r="149" spans="2:13" x14ac:dyDescent="0.25">
      <c r="B149" s="365"/>
      <c r="C149" s="365"/>
      <c r="D149" s="365"/>
      <c r="E149" s="365"/>
      <c r="F149" s="365"/>
      <c r="G149" s="365"/>
      <c r="H149" s="365"/>
      <c r="I149" s="365"/>
      <c r="J149" s="365"/>
      <c r="K149" s="365"/>
      <c r="L149" s="365"/>
      <c r="M149" s="365"/>
    </row>
    <row r="150" spans="2:13" x14ac:dyDescent="0.25">
      <c r="B150" s="365"/>
      <c r="C150" s="365"/>
      <c r="D150" s="365"/>
      <c r="E150" s="365"/>
      <c r="F150" s="365"/>
      <c r="G150" s="365"/>
      <c r="H150" s="365"/>
      <c r="I150" s="365"/>
      <c r="J150" s="365"/>
      <c r="K150" s="365"/>
      <c r="L150" s="365"/>
      <c r="M150" s="365"/>
    </row>
    <row r="151" spans="2:13" x14ac:dyDescent="0.25">
      <c r="B151" s="365"/>
      <c r="C151" s="365"/>
      <c r="D151" s="365"/>
      <c r="E151" s="365"/>
      <c r="F151" s="365"/>
      <c r="G151" s="365"/>
      <c r="H151" s="365"/>
      <c r="I151" s="365"/>
      <c r="J151" s="365"/>
      <c r="K151" s="365"/>
      <c r="L151" s="365"/>
      <c r="M151" s="365"/>
    </row>
    <row r="152" spans="2:13" x14ac:dyDescent="0.25">
      <c r="B152" s="365"/>
      <c r="C152" s="365"/>
      <c r="D152" s="365"/>
      <c r="E152" s="365"/>
      <c r="F152" s="365"/>
      <c r="G152" s="365"/>
      <c r="H152" s="365"/>
      <c r="I152" s="365"/>
      <c r="J152" s="365"/>
      <c r="K152" s="365"/>
      <c r="L152" s="365"/>
      <c r="M152" s="365"/>
    </row>
    <row r="153" spans="2:13" x14ac:dyDescent="0.25">
      <c r="B153" s="365"/>
      <c r="C153" s="365"/>
      <c r="D153" s="365"/>
      <c r="E153" s="365"/>
      <c r="F153" s="365"/>
      <c r="G153" s="365"/>
      <c r="H153" s="365"/>
      <c r="I153" s="365"/>
      <c r="J153" s="365"/>
      <c r="K153" s="365"/>
      <c r="L153" s="365"/>
      <c r="M153" s="365"/>
    </row>
    <row r="154" spans="2:13" x14ac:dyDescent="0.25">
      <c r="B154" s="365"/>
      <c r="C154" s="365"/>
      <c r="D154" s="365"/>
      <c r="E154" s="365"/>
      <c r="F154" s="365"/>
      <c r="G154" s="365"/>
      <c r="H154" s="365"/>
      <c r="I154" s="365"/>
      <c r="J154" s="365"/>
      <c r="K154" s="365"/>
      <c r="L154" s="365"/>
      <c r="M154" s="365"/>
    </row>
    <row r="155" spans="2:13" x14ac:dyDescent="0.25">
      <c r="B155" s="365"/>
      <c r="C155" s="365"/>
      <c r="D155" s="365"/>
      <c r="E155" s="365"/>
      <c r="F155" s="365"/>
      <c r="G155" s="365"/>
      <c r="H155" s="365"/>
      <c r="I155" s="365"/>
      <c r="J155" s="365"/>
      <c r="K155" s="365"/>
      <c r="L155" s="365"/>
      <c r="M155" s="365"/>
    </row>
    <row r="156" spans="2:13" x14ac:dyDescent="0.25">
      <c r="B156" s="365"/>
      <c r="C156" s="365"/>
      <c r="D156" s="365"/>
      <c r="E156" s="365"/>
      <c r="F156" s="365"/>
      <c r="G156" s="365"/>
      <c r="H156" s="365"/>
      <c r="I156" s="365"/>
      <c r="J156" s="365"/>
      <c r="K156" s="365"/>
      <c r="L156" s="365"/>
      <c r="M156" s="365"/>
    </row>
    <row r="157" spans="2:13" x14ac:dyDescent="0.25">
      <c r="B157" s="365"/>
      <c r="C157" s="365"/>
      <c r="D157" s="365"/>
      <c r="E157" s="365"/>
      <c r="F157" s="365"/>
      <c r="G157" s="365"/>
      <c r="H157" s="365"/>
      <c r="I157" s="365"/>
      <c r="J157" s="365"/>
      <c r="K157" s="365"/>
      <c r="L157" s="365"/>
      <c r="M157" s="365"/>
    </row>
    <row r="158" spans="2:13" x14ac:dyDescent="0.25">
      <c r="B158" s="365"/>
      <c r="C158" s="365"/>
      <c r="D158" s="365"/>
      <c r="E158" s="365"/>
      <c r="F158" s="365"/>
      <c r="G158" s="365"/>
      <c r="H158" s="365"/>
      <c r="I158" s="365"/>
      <c r="J158" s="365"/>
      <c r="K158" s="365"/>
      <c r="L158" s="365"/>
      <c r="M158" s="365"/>
    </row>
    <row r="159" spans="2:13" x14ac:dyDescent="0.25">
      <c r="B159" s="365"/>
      <c r="C159" s="365"/>
      <c r="D159" s="365"/>
      <c r="E159" s="365"/>
      <c r="F159" s="365"/>
      <c r="G159" s="365"/>
      <c r="H159" s="365"/>
      <c r="I159" s="365"/>
      <c r="J159" s="365"/>
      <c r="K159" s="365"/>
      <c r="L159" s="365"/>
      <c r="M159" s="365"/>
    </row>
    <row r="160" spans="2:13" x14ac:dyDescent="0.25">
      <c r="B160" s="365"/>
      <c r="C160" s="365"/>
      <c r="D160" s="365"/>
      <c r="E160" s="365"/>
      <c r="F160" s="365"/>
      <c r="G160" s="365"/>
      <c r="H160" s="365"/>
      <c r="I160" s="365"/>
      <c r="J160" s="365"/>
      <c r="K160" s="365"/>
      <c r="L160" s="365"/>
      <c r="M160" s="365"/>
    </row>
    <row r="161" spans="2:13" x14ac:dyDescent="0.25">
      <c r="B161" s="365"/>
      <c r="C161" s="365"/>
      <c r="D161" s="365"/>
      <c r="E161" s="365"/>
      <c r="F161" s="365"/>
      <c r="G161" s="365"/>
      <c r="H161" s="365"/>
      <c r="I161" s="365"/>
      <c r="J161" s="365"/>
      <c r="K161" s="365"/>
      <c r="L161" s="365"/>
      <c r="M161" s="365"/>
    </row>
    <row r="162" spans="2:13" x14ac:dyDescent="0.25">
      <c r="B162" s="365"/>
      <c r="C162" s="365"/>
      <c r="D162" s="365"/>
      <c r="E162" s="365"/>
      <c r="F162" s="365"/>
      <c r="G162" s="365"/>
      <c r="H162" s="365"/>
      <c r="I162" s="365"/>
      <c r="J162" s="365"/>
      <c r="K162" s="365"/>
      <c r="L162" s="365"/>
      <c r="M162" s="365"/>
    </row>
    <row r="163" spans="2:13" x14ac:dyDescent="0.25">
      <c r="B163" s="365"/>
      <c r="C163" s="365"/>
      <c r="D163" s="365"/>
      <c r="E163" s="365"/>
      <c r="F163" s="365"/>
      <c r="G163" s="365"/>
      <c r="H163" s="365"/>
      <c r="I163" s="365"/>
      <c r="J163" s="365"/>
      <c r="K163" s="365"/>
      <c r="L163" s="365"/>
      <c r="M163" s="365"/>
    </row>
    <row r="164" spans="2:13" x14ac:dyDescent="0.25">
      <c r="B164" s="365"/>
      <c r="C164" s="365"/>
      <c r="D164" s="365"/>
      <c r="E164" s="365"/>
      <c r="F164" s="365"/>
      <c r="G164" s="365"/>
      <c r="H164" s="365"/>
      <c r="I164" s="365"/>
      <c r="J164" s="365"/>
      <c r="K164" s="365"/>
      <c r="L164" s="365"/>
      <c r="M164" s="365"/>
    </row>
    <row r="165" spans="2:13" x14ac:dyDescent="0.25">
      <c r="B165" s="365"/>
      <c r="C165" s="365"/>
      <c r="D165" s="365"/>
      <c r="E165" s="365"/>
      <c r="F165" s="365"/>
      <c r="G165" s="365"/>
      <c r="H165" s="365"/>
      <c r="I165" s="365"/>
      <c r="J165" s="365"/>
      <c r="K165" s="365"/>
      <c r="L165" s="365"/>
      <c r="M165" s="365"/>
    </row>
    <row r="166" spans="2:13" x14ac:dyDescent="0.25">
      <c r="B166" s="365"/>
      <c r="C166" s="365"/>
      <c r="D166" s="365"/>
      <c r="E166" s="365"/>
      <c r="F166" s="365"/>
      <c r="G166" s="365"/>
      <c r="H166" s="365"/>
      <c r="I166" s="365"/>
      <c r="J166" s="365"/>
      <c r="K166" s="365"/>
      <c r="L166" s="365"/>
      <c r="M166" s="365"/>
    </row>
    <row r="167" spans="2:13" x14ac:dyDescent="0.25">
      <c r="B167" s="365"/>
      <c r="C167" s="365"/>
      <c r="D167" s="365"/>
      <c r="E167" s="365"/>
      <c r="F167" s="365"/>
      <c r="G167" s="365"/>
      <c r="H167" s="365"/>
      <c r="I167" s="365"/>
      <c r="J167" s="365"/>
      <c r="K167" s="365"/>
      <c r="L167" s="365"/>
      <c r="M167" s="365"/>
    </row>
    <row r="168" spans="2:13" x14ac:dyDescent="0.25">
      <c r="B168" s="365"/>
      <c r="C168" s="365"/>
      <c r="D168" s="365"/>
      <c r="E168" s="365"/>
      <c r="F168" s="365"/>
      <c r="G168" s="365"/>
      <c r="H168" s="365"/>
      <c r="I168" s="365"/>
      <c r="J168" s="365"/>
      <c r="K168" s="365"/>
      <c r="L168" s="365"/>
      <c r="M168" s="365"/>
    </row>
    <row r="169" spans="2:13" x14ac:dyDescent="0.25">
      <c r="B169" s="365"/>
      <c r="C169" s="365"/>
      <c r="D169" s="365"/>
      <c r="E169" s="365"/>
      <c r="F169" s="365"/>
      <c r="G169" s="365"/>
      <c r="H169" s="365"/>
      <c r="I169" s="365"/>
      <c r="J169" s="365"/>
      <c r="K169" s="365"/>
      <c r="L169" s="365"/>
      <c r="M169" s="365"/>
    </row>
    <row r="170" spans="2:13" x14ac:dyDescent="0.25">
      <c r="B170" s="365"/>
      <c r="C170" s="365"/>
      <c r="D170" s="365"/>
      <c r="E170" s="365"/>
      <c r="F170" s="365"/>
      <c r="G170" s="365"/>
      <c r="H170" s="365"/>
      <c r="I170" s="365"/>
      <c r="J170" s="365"/>
      <c r="K170" s="365"/>
      <c r="L170" s="365"/>
      <c r="M170" s="365"/>
    </row>
    <row r="171" spans="2:13" x14ac:dyDescent="0.25">
      <c r="B171" s="365"/>
      <c r="C171" s="365"/>
      <c r="D171" s="365"/>
      <c r="E171" s="365"/>
      <c r="F171" s="365"/>
      <c r="G171" s="365"/>
      <c r="H171" s="365"/>
      <c r="I171" s="365"/>
      <c r="J171" s="365"/>
      <c r="K171" s="365"/>
      <c r="L171" s="365"/>
      <c r="M171" s="365"/>
    </row>
    <row r="172" spans="2:13" x14ac:dyDescent="0.25">
      <c r="B172" s="365"/>
      <c r="C172" s="365"/>
      <c r="D172" s="365"/>
      <c r="E172" s="365"/>
      <c r="F172" s="365"/>
      <c r="G172" s="365"/>
      <c r="H172" s="365"/>
      <c r="I172" s="365"/>
      <c r="J172" s="365"/>
      <c r="K172" s="365"/>
      <c r="L172" s="365"/>
      <c r="M172" s="365"/>
    </row>
    <row r="173" spans="2:13" x14ac:dyDescent="0.25">
      <c r="B173" s="365"/>
      <c r="C173" s="365"/>
      <c r="D173" s="365"/>
      <c r="E173" s="365"/>
      <c r="F173" s="365"/>
      <c r="G173" s="365"/>
      <c r="H173" s="365"/>
      <c r="I173" s="365"/>
      <c r="J173" s="365"/>
      <c r="K173" s="365"/>
      <c r="L173" s="365"/>
      <c r="M173" s="365"/>
    </row>
    <row r="174" spans="2:13" x14ac:dyDescent="0.25">
      <c r="B174" s="365"/>
      <c r="C174" s="365"/>
      <c r="D174" s="365"/>
      <c r="E174" s="365"/>
      <c r="F174" s="365"/>
      <c r="G174" s="365"/>
      <c r="H174" s="365"/>
      <c r="I174" s="365"/>
      <c r="J174" s="365"/>
      <c r="K174" s="365"/>
      <c r="L174" s="365"/>
      <c r="M174" s="365"/>
    </row>
    <row r="175" spans="2:13" x14ac:dyDescent="0.25">
      <c r="B175" s="365"/>
      <c r="C175" s="365"/>
      <c r="D175" s="365"/>
      <c r="E175" s="365"/>
      <c r="F175" s="365"/>
      <c r="G175" s="365"/>
      <c r="H175" s="365"/>
      <c r="I175" s="365"/>
      <c r="J175" s="365"/>
      <c r="K175" s="365"/>
      <c r="L175" s="365"/>
      <c r="M175" s="365"/>
    </row>
    <row r="176" spans="2:13" x14ac:dyDescent="0.25">
      <c r="B176" s="365"/>
      <c r="C176" s="365"/>
      <c r="D176" s="365"/>
      <c r="E176" s="365"/>
      <c r="F176" s="365"/>
      <c r="G176" s="365"/>
      <c r="H176" s="365"/>
      <c r="I176" s="365"/>
      <c r="J176" s="365"/>
      <c r="K176" s="365"/>
      <c r="L176" s="365"/>
      <c r="M176" s="365"/>
    </row>
    <row r="177" spans="2:13" x14ac:dyDescent="0.25">
      <c r="B177" s="365"/>
      <c r="C177" s="365"/>
      <c r="D177" s="365"/>
      <c r="E177" s="365"/>
      <c r="F177" s="365"/>
      <c r="G177" s="365"/>
      <c r="H177" s="365"/>
      <c r="I177" s="365"/>
      <c r="J177" s="365"/>
      <c r="K177" s="365"/>
      <c r="L177" s="365"/>
      <c r="M177" s="365"/>
    </row>
    <row r="178" spans="2:13" x14ac:dyDescent="0.25">
      <c r="B178" s="365"/>
      <c r="C178" s="365"/>
      <c r="D178" s="365"/>
      <c r="E178" s="365"/>
      <c r="F178" s="365"/>
      <c r="G178" s="365"/>
      <c r="H178" s="365"/>
      <c r="I178" s="365"/>
      <c r="J178" s="365"/>
      <c r="K178" s="365"/>
      <c r="L178" s="365"/>
      <c r="M178" s="365"/>
    </row>
    <row r="179" spans="2:13" x14ac:dyDescent="0.25">
      <c r="B179" s="365"/>
      <c r="C179" s="365"/>
      <c r="D179" s="365"/>
      <c r="E179" s="365"/>
      <c r="F179" s="365"/>
      <c r="G179" s="365"/>
      <c r="H179" s="365"/>
      <c r="I179" s="365"/>
      <c r="J179" s="365"/>
      <c r="K179" s="365"/>
      <c r="L179" s="365"/>
      <c r="M179" s="365"/>
    </row>
    <row r="180" spans="2:13" x14ac:dyDescent="0.25">
      <c r="B180" s="365"/>
      <c r="C180" s="365"/>
      <c r="D180" s="365"/>
      <c r="E180" s="365"/>
      <c r="F180" s="365"/>
      <c r="G180" s="365"/>
      <c r="H180" s="365"/>
      <c r="I180" s="365"/>
      <c r="J180" s="365"/>
      <c r="K180" s="365"/>
      <c r="L180" s="365"/>
      <c r="M180" s="365"/>
    </row>
    <row r="181" spans="2:13" x14ac:dyDescent="0.25">
      <c r="B181" s="365"/>
      <c r="C181" s="365"/>
      <c r="D181" s="365"/>
      <c r="E181" s="365"/>
      <c r="F181" s="365"/>
      <c r="G181" s="365"/>
      <c r="H181" s="365"/>
      <c r="I181" s="365"/>
      <c r="J181" s="365"/>
      <c r="K181" s="365"/>
      <c r="L181" s="365"/>
      <c r="M181" s="365"/>
    </row>
    <row r="182" spans="2:13" x14ac:dyDescent="0.25">
      <c r="B182" s="365"/>
      <c r="C182" s="365"/>
      <c r="D182" s="365"/>
      <c r="E182" s="365"/>
      <c r="F182" s="365"/>
      <c r="G182" s="365"/>
      <c r="H182" s="365"/>
      <c r="I182" s="365"/>
      <c r="J182" s="365"/>
      <c r="K182" s="365"/>
      <c r="L182" s="365"/>
      <c r="M182" s="365"/>
    </row>
    <row r="183" spans="2:13" x14ac:dyDescent="0.25">
      <c r="B183" s="365"/>
      <c r="C183" s="365"/>
      <c r="D183" s="365"/>
      <c r="E183" s="365"/>
      <c r="F183" s="365"/>
      <c r="G183" s="365"/>
      <c r="H183" s="365"/>
      <c r="I183" s="365"/>
      <c r="J183" s="365"/>
      <c r="K183" s="365"/>
      <c r="L183" s="365"/>
      <c r="M183" s="365"/>
    </row>
    <row r="184" spans="2:13" x14ac:dyDescent="0.25">
      <c r="B184" s="365"/>
      <c r="C184" s="365"/>
      <c r="D184" s="365"/>
      <c r="E184" s="365"/>
      <c r="F184" s="365"/>
      <c r="G184" s="365"/>
      <c r="H184" s="365"/>
      <c r="I184" s="365"/>
      <c r="J184" s="365"/>
      <c r="K184" s="365"/>
      <c r="L184" s="365"/>
      <c r="M184" s="365"/>
    </row>
    <row r="185" spans="2:13" x14ac:dyDescent="0.25">
      <c r="B185" s="365"/>
      <c r="C185" s="365"/>
      <c r="D185" s="365"/>
      <c r="E185" s="365"/>
      <c r="F185" s="365"/>
      <c r="G185" s="365"/>
      <c r="H185" s="365"/>
      <c r="I185" s="365"/>
      <c r="J185" s="365"/>
      <c r="K185" s="365"/>
      <c r="L185" s="365"/>
      <c r="M185" s="365"/>
    </row>
    <row r="186" spans="2:13" x14ac:dyDescent="0.25">
      <c r="B186" s="365"/>
      <c r="C186" s="365"/>
      <c r="D186" s="365"/>
      <c r="E186" s="365"/>
      <c r="F186" s="365"/>
      <c r="G186" s="365"/>
      <c r="H186" s="365"/>
      <c r="I186" s="365"/>
      <c r="J186" s="365"/>
      <c r="K186" s="365"/>
      <c r="L186" s="365"/>
      <c r="M186" s="365"/>
    </row>
    <row r="187" spans="2:13" x14ac:dyDescent="0.25">
      <c r="B187" s="365"/>
      <c r="C187" s="365"/>
      <c r="D187" s="365"/>
      <c r="E187" s="365"/>
      <c r="F187" s="365"/>
      <c r="G187" s="365"/>
      <c r="H187" s="365"/>
      <c r="I187" s="365"/>
      <c r="J187" s="365"/>
      <c r="K187" s="365"/>
      <c r="L187" s="365"/>
      <c r="M187" s="365"/>
    </row>
    <row r="188" spans="2:13" x14ac:dyDescent="0.25">
      <c r="B188" s="365"/>
      <c r="C188" s="365"/>
      <c r="D188" s="365"/>
      <c r="E188" s="365"/>
      <c r="F188" s="365"/>
      <c r="G188" s="365"/>
      <c r="H188" s="365"/>
      <c r="I188" s="365"/>
      <c r="J188" s="365"/>
      <c r="K188" s="365"/>
      <c r="L188" s="365"/>
      <c r="M188" s="365"/>
    </row>
    <row r="189" spans="2:13" x14ac:dyDescent="0.25">
      <c r="B189" s="365"/>
      <c r="C189" s="365"/>
      <c r="D189" s="365"/>
      <c r="E189" s="365"/>
      <c r="F189" s="365"/>
      <c r="G189" s="365"/>
      <c r="H189" s="365"/>
      <c r="I189" s="365"/>
      <c r="J189" s="365"/>
      <c r="K189" s="365"/>
      <c r="L189" s="365"/>
      <c r="M189" s="365"/>
    </row>
    <row r="190" spans="2:13" x14ac:dyDescent="0.25">
      <c r="B190" s="365"/>
      <c r="C190" s="365"/>
      <c r="D190" s="365"/>
      <c r="E190" s="365"/>
      <c r="F190" s="365"/>
      <c r="G190" s="365"/>
      <c r="H190" s="365"/>
      <c r="I190" s="365"/>
      <c r="J190" s="365"/>
      <c r="K190" s="365"/>
      <c r="L190" s="365"/>
      <c r="M190" s="365"/>
    </row>
    <row r="191" spans="2:13" x14ac:dyDescent="0.25">
      <c r="B191" s="365"/>
      <c r="C191" s="365"/>
      <c r="D191" s="365"/>
      <c r="E191" s="365"/>
      <c r="F191" s="365"/>
      <c r="G191" s="365"/>
      <c r="H191" s="365"/>
      <c r="I191" s="365"/>
      <c r="J191" s="365"/>
      <c r="K191" s="365"/>
      <c r="L191" s="365"/>
      <c r="M191" s="365"/>
    </row>
    <row r="192" spans="2:13" x14ac:dyDescent="0.25">
      <c r="B192" s="365"/>
      <c r="C192" s="365"/>
      <c r="D192" s="365"/>
      <c r="E192" s="365"/>
      <c r="F192" s="365"/>
      <c r="G192" s="365"/>
      <c r="H192" s="365"/>
      <c r="I192" s="365"/>
      <c r="J192" s="365"/>
      <c r="K192" s="365"/>
      <c r="L192" s="365"/>
      <c r="M192" s="365"/>
    </row>
    <row r="193" spans="2:13" x14ac:dyDescent="0.25">
      <c r="B193" s="365"/>
      <c r="C193" s="365"/>
      <c r="D193" s="365"/>
      <c r="E193" s="365"/>
      <c r="F193" s="365"/>
      <c r="G193" s="365"/>
      <c r="H193" s="365"/>
      <c r="I193" s="365"/>
      <c r="J193" s="365"/>
      <c r="K193" s="365"/>
      <c r="L193" s="365"/>
      <c r="M193" s="365"/>
    </row>
    <row r="194" spans="2:13" x14ac:dyDescent="0.25">
      <c r="B194" s="365"/>
      <c r="C194" s="365"/>
      <c r="D194" s="365"/>
      <c r="E194" s="365"/>
      <c r="F194" s="365"/>
      <c r="G194" s="365"/>
      <c r="H194" s="365"/>
      <c r="I194" s="365"/>
      <c r="J194" s="365"/>
      <c r="K194" s="365"/>
      <c r="L194" s="365"/>
      <c r="M194" s="365"/>
    </row>
    <row r="195" spans="2:13" x14ac:dyDescent="0.25">
      <c r="B195" s="365"/>
      <c r="C195" s="365"/>
      <c r="D195" s="365"/>
      <c r="E195" s="365"/>
      <c r="F195" s="365"/>
      <c r="G195" s="365"/>
      <c r="H195" s="365"/>
      <c r="I195" s="365"/>
      <c r="J195" s="365"/>
      <c r="K195" s="365"/>
      <c r="L195" s="365"/>
      <c r="M195" s="365"/>
    </row>
    <row r="196" spans="2:13" x14ac:dyDescent="0.25">
      <c r="B196" s="365"/>
      <c r="C196" s="365"/>
      <c r="D196" s="365"/>
      <c r="E196" s="365"/>
      <c r="F196" s="365"/>
      <c r="G196" s="365"/>
      <c r="H196" s="365"/>
      <c r="I196" s="365"/>
      <c r="J196" s="365"/>
      <c r="K196" s="365"/>
      <c r="L196" s="365"/>
      <c r="M196" s="365"/>
    </row>
    <row r="197" spans="2:13" x14ac:dyDescent="0.25">
      <c r="B197" s="365"/>
      <c r="C197" s="365"/>
      <c r="D197" s="365"/>
      <c r="E197" s="365"/>
      <c r="F197" s="365"/>
      <c r="G197" s="365"/>
      <c r="H197" s="365"/>
      <c r="I197" s="365"/>
      <c r="J197" s="365"/>
      <c r="K197" s="365"/>
      <c r="L197" s="365"/>
      <c r="M197" s="365"/>
    </row>
    <row r="198" spans="2:13" x14ac:dyDescent="0.25">
      <c r="B198" s="365"/>
      <c r="C198" s="365"/>
      <c r="D198" s="365"/>
      <c r="E198" s="365"/>
      <c r="F198" s="365"/>
      <c r="G198" s="365"/>
      <c r="H198" s="365"/>
      <c r="I198" s="365"/>
      <c r="J198" s="365"/>
      <c r="K198" s="365"/>
      <c r="L198" s="365"/>
      <c r="M198" s="365"/>
    </row>
    <row r="199" spans="2:13" x14ac:dyDescent="0.25">
      <c r="B199" s="365"/>
      <c r="C199" s="365"/>
      <c r="D199" s="365"/>
      <c r="E199" s="365"/>
      <c r="F199" s="365"/>
      <c r="G199" s="365"/>
      <c r="H199" s="365"/>
      <c r="I199" s="365"/>
      <c r="J199" s="365"/>
      <c r="K199" s="365"/>
      <c r="L199" s="365"/>
      <c r="M199" s="365"/>
    </row>
    <row r="200" spans="2:13" x14ac:dyDescent="0.25">
      <c r="B200" s="365"/>
      <c r="C200" s="365"/>
      <c r="D200" s="365"/>
      <c r="E200" s="365"/>
      <c r="F200" s="365"/>
      <c r="G200" s="365"/>
      <c r="H200" s="365"/>
      <c r="I200" s="365"/>
      <c r="J200" s="365"/>
      <c r="K200" s="365"/>
      <c r="L200" s="365"/>
      <c r="M200" s="365"/>
    </row>
    <row r="201" spans="2:13" x14ac:dyDescent="0.25">
      <c r="B201" s="365"/>
      <c r="C201" s="365"/>
      <c r="D201" s="365"/>
      <c r="E201" s="365"/>
      <c r="F201" s="365"/>
      <c r="G201" s="365"/>
      <c r="H201" s="365"/>
      <c r="I201" s="365"/>
      <c r="J201" s="365"/>
      <c r="K201" s="365"/>
      <c r="L201" s="365"/>
      <c r="M201" s="365"/>
    </row>
    <row r="202" spans="2:13" x14ac:dyDescent="0.25">
      <c r="B202" s="365"/>
      <c r="C202" s="365"/>
      <c r="D202" s="365"/>
      <c r="E202" s="365"/>
      <c r="F202" s="365"/>
      <c r="G202" s="365"/>
      <c r="H202" s="365"/>
      <c r="I202" s="365"/>
      <c r="J202" s="365"/>
      <c r="K202" s="365"/>
      <c r="L202" s="365"/>
      <c r="M202" s="365"/>
    </row>
    <row r="203" spans="2:13" x14ac:dyDescent="0.25">
      <c r="B203" s="365"/>
      <c r="C203" s="365"/>
      <c r="D203" s="365"/>
      <c r="E203" s="365"/>
      <c r="F203" s="365"/>
      <c r="G203" s="365"/>
      <c r="H203" s="365"/>
      <c r="I203" s="365"/>
      <c r="J203" s="365"/>
      <c r="K203" s="365"/>
      <c r="L203" s="365"/>
      <c r="M203" s="365"/>
    </row>
    <row r="204" spans="2:13" x14ac:dyDescent="0.25">
      <c r="B204" s="365"/>
      <c r="C204" s="365"/>
      <c r="D204" s="365"/>
      <c r="E204" s="365"/>
      <c r="F204" s="365"/>
      <c r="G204" s="365"/>
      <c r="H204" s="365"/>
      <c r="I204" s="365"/>
      <c r="J204" s="365"/>
      <c r="K204" s="365"/>
      <c r="L204" s="365"/>
      <c r="M204" s="365"/>
    </row>
    <row r="205" spans="2:13" x14ac:dyDescent="0.25">
      <c r="B205" s="365"/>
      <c r="C205" s="365"/>
      <c r="D205" s="365"/>
      <c r="E205" s="365"/>
      <c r="F205" s="365"/>
      <c r="G205" s="365"/>
      <c r="H205" s="365"/>
      <c r="I205" s="365"/>
      <c r="J205" s="365"/>
      <c r="K205" s="365"/>
      <c r="L205" s="365"/>
      <c r="M205" s="365"/>
    </row>
  </sheetData>
  <mergeCells count="13">
    <mergeCell ref="A1:D2"/>
    <mergeCell ref="F7:I7"/>
    <mergeCell ref="J7:N7"/>
    <mergeCell ref="B16:E16"/>
    <mergeCell ref="F16:I16"/>
    <mergeCell ref="B39:E39"/>
    <mergeCell ref="F39:I39"/>
    <mergeCell ref="J39:M39"/>
    <mergeCell ref="N39:Q39"/>
    <mergeCell ref="R39:U39"/>
    <mergeCell ref="J16:M16"/>
    <mergeCell ref="N16:Q16"/>
    <mergeCell ref="R16:U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</vt:lpstr>
      <vt:lpstr>Dosimetry</vt:lpstr>
      <vt:lpstr>Mechanical</vt:lpstr>
      <vt:lpstr>EDW</vt:lpstr>
      <vt:lpstr>MLC</vt:lpstr>
      <vt:lpstr>Imaging</vt:lpstr>
      <vt:lpstr>Cross Cal</vt:lpstr>
      <vt:lpstr>TG-51 Photon</vt:lpstr>
      <vt:lpstr>TG-51 Electron</vt:lpstr>
      <vt:lpstr>PDDs</vt:lpstr>
    </vt:vector>
  </TitlesOfParts>
  <Company>Nebraska Methodist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Spenser</dc:creator>
  <cp:lastModifiedBy>Ferris, William</cp:lastModifiedBy>
  <cp:lastPrinted>2025-02-26T21:35:38Z</cp:lastPrinted>
  <dcterms:created xsi:type="dcterms:W3CDTF">2018-09-06T14:17:01Z</dcterms:created>
  <dcterms:modified xsi:type="dcterms:W3CDTF">2025-03-02T22:33:39Z</dcterms:modified>
</cp:coreProperties>
</file>